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test\"/>
    </mc:Choice>
  </mc:AlternateContent>
  <xr:revisionPtr revIDLastSave="0" documentId="8_{7C9054AF-2B61-458B-96D0-572506C571A0}" xr6:coauthVersionLast="47" xr6:coauthVersionMax="47" xr10:uidLastSave="{00000000-0000-0000-0000-000000000000}"/>
  <bookViews>
    <workbookView xWindow="-28920" yWindow="-120" windowWidth="29040" windowHeight="15840" tabRatio="641" xr2:uid="{00000000-000D-0000-FFFF-FFFF00000000}"/>
  </bookViews>
  <sheets>
    <sheet name="Inschrijving" sheetId="7" r:id="rId1"/>
    <sheet name="Groepsloting" sheetId="6" r:id="rId2"/>
    <sheet name="Stand Groepen" sheetId="2" r:id="rId3"/>
    <sheet name="Samenvatting" sheetId="9" r:id="rId4"/>
  </sheets>
  <definedNames>
    <definedName name="_xlnm.Print_Area" localSheetId="0">Inschrijving!$A$1:$W$94</definedName>
    <definedName name="cc">Inschrijving!$W:$W</definedName>
    <definedName name="dd">Inschrijving!$W:$W</definedName>
    <definedName name="groepA">Groepsloting!$B$2:$B$5</definedName>
    <definedName name="groepAenB">Groepsloting!$B$1:$B$11</definedName>
    <definedName name="groepAtmD">Groepsloting!$B$1:$B$23</definedName>
    <definedName name="groepAtmH">Groepsloting!$B$1:$B$36</definedName>
    <definedName name="groepB">Groepsloting!$B$8:$B$11</definedName>
    <definedName name="groepC">Groepsloting!$B$14:$B$17</definedName>
    <definedName name="groepCenD">Groepsloting!$B$13:$B$23</definedName>
    <definedName name="groepD">Groepsloting!$B$20:$B$23</definedName>
    <definedName name="groepE">Groepsloting!$B$26:$B$29</definedName>
    <definedName name="groepEenF">Groepsloting!$B$25:$B$35</definedName>
    <definedName name="groepEtmH">Groepsloting!$B$25:$B$36</definedName>
    <definedName name="groepF">Groepsloting!$B$32:$B$35</definedName>
    <definedName name="groepG">Groepsloting!#REF!</definedName>
    <definedName name="groepGenH">Groepsloting!#REF!</definedName>
    <definedName name="groepH">Groepsloting!#REF!</definedName>
    <definedName name="Landen">Groepsloting!$B$162:$B$194</definedName>
    <definedName name="Oranje">Groepsloting!#REF!</definedName>
    <definedName name="score">Groepsloting!$B$204:$B$219</definedName>
    <definedName name="toto">Groepsloting!$B$204:$B$207</definedName>
    <definedName name="y">Inschrijving!$W$13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I57" i="7" l="1"/>
  <c r="BI58" i="7"/>
  <c r="BI59" i="7"/>
  <c r="BI60" i="7"/>
  <c r="BI61" i="7"/>
  <c r="BI31" i="7"/>
  <c r="BI32" i="7"/>
  <c r="BI33" i="7"/>
  <c r="BI34" i="7"/>
  <c r="BI35" i="7"/>
  <c r="BI36" i="7"/>
  <c r="BI37" i="7"/>
  <c r="BI38" i="7"/>
  <c r="BI39" i="7"/>
  <c r="BI40" i="7"/>
  <c r="BI41" i="7"/>
  <c r="BI42" i="7"/>
  <c r="BI43" i="7"/>
  <c r="BI44" i="7"/>
  <c r="BI45" i="7"/>
  <c r="BI46" i="7"/>
  <c r="BI47" i="7"/>
  <c r="BI48" i="7"/>
  <c r="BI49" i="7"/>
  <c r="BI50" i="7"/>
  <c r="BI51" i="7"/>
  <c r="BI52" i="7"/>
  <c r="BI53" i="7"/>
  <c r="BI54" i="7"/>
  <c r="BI55" i="7"/>
  <c r="BI56" i="7"/>
  <c r="D144" i="9"/>
  <c r="D142" i="9"/>
  <c r="D140" i="9"/>
  <c r="D138" i="9"/>
  <c r="H140" i="6" l="1"/>
  <c r="F140" i="6"/>
  <c r="D140" i="6"/>
  <c r="F76" i="9"/>
  <c r="E76" i="9"/>
  <c r="D76" i="9"/>
  <c r="B76" i="9"/>
  <c r="H72" i="9"/>
  <c r="F72" i="9"/>
  <c r="E72" i="9"/>
  <c r="D72" i="9"/>
  <c r="B72" i="9"/>
  <c r="H71" i="9"/>
  <c r="F71" i="9"/>
  <c r="E71" i="9"/>
  <c r="D71" i="9"/>
  <c r="B71" i="9"/>
  <c r="H67" i="9"/>
  <c r="F67" i="9"/>
  <c r="E67" i="9"/>
  <c r="D67" i="9"/>
  <c r="B67" i="9"/>
  <c r="H66" i="9"/>
  <c r="F66" i="9"/>
  <c r="E66" i="9"/>
  <c r="D66" i="9"/>
  <c r="B66" i="9"/>
  <c r="H65" i="9"/>
  <c r="F65" i="9"/>
  <c r="E65" i="9"/>
  <c r="D65" i="9"/>
  <c r="B65" i="9"/>
  <c r="H64" i="9"/>
  <c r="F64" i="9"/>
  <c r="E64" i="9"/>
  <c r="D64" i="9"/>
  <c r="B64" i="9"/>
  <c r="H60" i="9"/>
  <c r="F60" i="9"/>
  <c r="E60" i="9"/>
  <c r="D60" i="9"/>
  <c r="B60" i="9"/>
  <c r="H59" i="9"/>
  <c r="F59" i="9"/>
  <c r="E59" i="9"/>
  <c r="D59" i="9"/>
  <c r="B59" i="9"/>
  <c r="H58" i="9"/>
  <c r="F58" i="9"/>
  <c r="E58" i="9"/>
  <c r="D58" i="9"/>
  <c r="B58" i="9"/>
  <c r="H57" i="9"/>
  <c r="F57" i="9"/>
  <c r="E57" i="9"/>
  <c r="D57" i="9"/>
  <c r="B57" i="9"/>
  <c r="H56" i="9"/>
  <c r="F56" i="9"/>
  <c r="E56" i="9"/>
  <c r="D56" i="9"/>
  <c r="B56" i="9"/>
  <c r="H55" i="9"/>
  <c r="F55" i="9"/>
  <c r="E55" i="9"/>
  <c r="D55" i="9"/>
  <c r="B55" i="9"/>
  <c r="H54" i="9"/>
  <c r="F54" i="9"/>
  <c r="E54" i="9"/>
  <c r="D54" i="9"/>
  <c r="B54" i="9"/>
  <c r="H53" i="9"/>
  <c r="F53" i="9"/>
  <c r="E53" i="9"/>
  <c r="D53" i="9"/>
  <c r="B53" i="9"/>
  <c r="F49" i="9"/>
  <c r="E49" i="9"/>
  <c r="D49" i="9"/>
  <c r="B49" i="9"/>
  <c r="F48" i="9"/>
  <c r="E48" i="9"/>
  <c r="D48" i="9"/>
  <c r="B48" i="9"/>
  <c r="F47" i="9"/>
  <c r="E47" i="9"/>
  <c r="D47" i="9"/>
  <c r="B47" i="9"/>
  <c r="F46" i="9"/>
  <c r="E46" i="9"/>
  <c r="D46" i="9"/>
  <c r="B46" i="9"/>
  <c r="F45" i="9"/>
  <c r="E45" i="9"/>
  <c r="D45" i="9"/>
  <c r="B45" i="9"/>
  <c r="F44" i="9"/>
  <c r="E44" i="9"/>
  <c r="D44" i="9"/>
  <c r="B44" i="9"/>
  <c r="F41" i="9"/>
  <c r="E41" i="9"/>
  <c r="D41" i="9"/>
  <c r="B41" i="9"/>
  <c r="F40" i="9"/>
  <c r="E40" i="9"/>
  <c r="D40" i="9"/>
  <c r="B40" i="9"/>
  <c r="F39" i="9"/>
  <c r="E39" i="9"/>
  <c r="D39" i="9"/>
  <c r="B39" i="9"/>
  <c r="F38" i="9"/>
  <c r="E38" i="9"/>
  <c r="D38" i="9"/>
  <c r="B38" i="9"/>
  <c r="F37" i="9"/>
  <c r="E37" i="9"/>
  <c r="D37" i="9"/>
  <c r="B37" i="9"/>
  <c r="F36" i="9"/>
  <c r="E36" i="9"/>
  <c r="D36" i="9"/>
  <c r="B36" i="9"/>
  <c r="F33" i="9"/>
  <c r="E33" i="9"/>
  <c r="D33" i="9"/>
  <c r="B33" i="9"/>
  <c r="F32" i="9"/>
  <c r="E32" i="9"/>
  <c r="D32" i="9"/>
  <c r="B32" i="9"/>
  <c r="F31" i="9"/>
  <c r="E31" i="9"/>
  <c r="D31" i="9"/>
  <c r="B31" i="9"/>
  <c r="F30" i="9"/>
  <c r="E30" i="9"/>
  <c r="D30" i="9"/>
  <c r="B30" i="9"/>
  <c r="F29" i="9"/>
  <c r="E29" i="9"/>
  <c r="D29" i="9"/>
  <c r="B29" i="9"/>
  <c r="F28" i="9"/>
  <c r="E28" i="9"/>
  <c r="D28" i="9"/>
  <c r="B28" i="9"/>
  <c r="F25" i="9"/>
  <c r="E25" i="9"/>
  <c r="D25" i="9"/>
  <c r="B25" i="9"/>
  <c r="F24" i="9"/>
  <c r="E24" i="9"/>
  <c r="D24" i="9"/>
  <c r="B24" i="9"/>
  <c r="F23" i="9"/>
  <c r="E23" i="9"/>
  <c r="D23" i="9"/>
  <c r="B23" i="9"/>
  <c r="F22" i="9"/>
  <c r="E22" i="9"/>
  <c r="D22" i="9"/>
  <c r="B22" i="9"/>
  <c r="F21" i="9"/>
  <c r="E21" i="9"/>
  <c r="D21" i="9"/>
  <c r="B21" i="9"/>
  <c r="F20" i="9"/>
  <c r="E20" i="9"/>
  <c r="D20" i="9"/>
  <c r="B20" i="9"/>
  <c r="F17" i="9"/>
  <c r="E17" i="9"/>
  <c r="D17" i="9"/>
  <c r="B17" i="9"/>
  <c r="F16" i="9"/>
  <c r="E16" i="9"/>
  <c r="D16" i="9"/>
  <c r="B16" i="9"/>
  <c r="F15" i="9"/>
  <c r="E15" i="9"/>
  <c r="D15" i="9"/>
  <c r="B15" i="9"/>
  <c r="F14" i="9"/>
  <c r="E14" i="9"/>
  <c r="D14" i="9"/>
  <c r="B14" i="9"/>
  <c r="F13" i="9"/>
  <c r="E13" i="9"/>
  <c r="D13" i="9"/>
  <c r="B13" i="9"/>
  <c r="F12" i="9"/>
  <c r="E12" i="9"/>
  <c r="D12" i="9"/>
  <c r="B12" i="9"/>
  <c r="F9" i="9"/>
  <c r="E9" i="9"/>
  <c r="D9" i="9"/>
  <c r="B9" i="9"/>
  <c r="F8" i="9"/>
  <c r="E8" i="9"/>
  <c r="D8" i="9"/>
  <c r="B8" i="9"/>
  <c r="F7" i="9"/>
  <c r="E7" i="9"/>
  <c r="D7" i="9"/>
  <c r="B7" i="9"/>
  <c r="F6" i="9"/>
  <c r="E6" i="9"/>
  <c r="D6" i="9"/>
  <c r="B6" i="9"/>
  <c r="F5" i="9"/>
  <c r="E5" i="9"/>
  <c r="D5" i="9"/>
  <c r="B5" i="9"/>
  <c r="F4" i="9"/>
  <c r="E4" i="9"/>
  <c r="D4" i="9"/>
  <c r="B4" i="9"/>
  <c r="D2" i="9"/>
  <c r="F163" i="6" l="1"/>
  <c r="H163" i="6"/>
  <c r="F164" i="6"/>
  <c r="H164" i="6"/>
  <c r="F165" i="6"/>
  <c r="H165" i="6"/>
  <c r="F166" i="6"/>
  <c r="H166" i="6"/>
  <c r="F167" i="6"/>
  <c r="H167" i="6"/>
  <c r="F168" i="6"/>
  <c r="H168" i="6"/>
  <c r="F169" i="6"/>
  <c r="H169" i="6"/>
  <c r="F170" i="6"/>
  <c r="H170" i="6"/>
  <c r="F171" i="6"/>
  <c r="H171" i="6"/>
  <c r="F172" i="6"/>
  <c r="H172" i="6"/>
  <c r="F173" i="6"/>
  <c r="H173" i="6"/>
  <c r="F174" i="6"/>
  <c r="H174" i="6"/>
  <c r="F175" i="6"/>
  <c r="H175" i="6"/>
  <c r="F176" i="6"/>
  <c r="H176" i="6"/>
  <c r="F177" i="6"/>
  <c r="H177" i="6"/>
  <c r="F178" i="6"/>
  <c r="H178" i="6"/>
  <c r="F179" i="6"/>
  <c r="H179" i="6"/>
  <c r="F180" i="6"/>
  <c r="H180" i="6"/>
  <c r="F181" i="6"/>
  <c r="H181" i="6"/>
  <c r="F182" i="6"/>
  <c r="H182" i="6"/>
  <c r="F183" i="6"/>
  <c r="H183" i="6"/>
  <c r="F184" i="6"/>
  <c r="H184" i="6"/>
  <c r="F185" i="6"/>
  <c r="H185" i="6"/>
  <c r="F186" i="6"/>
  <c r="H186" i="6"/>
  <c r="D186" i="6"/>
  <c r="D168" i="6"/>
  <c r="D167" i="6"/>
  <c r="D185" i="6"/>
  <c r="D164" i="6"/>
  <c r="D165" i="6"/>
  <c r="D166" i="6"/>
  <c r="D169" i="6"/>
  <c r="D170" i="6"/>
  <c r="D171" i="6"/>
  <c r="D172" i="6"/>
  <c r="D173" i="6"/>
  <c r="D174" i="6"/>
  <c r="D175" i="6"/>
  <c r="D176" i="6"/>
  <c r="D177" i="6"/>
  <c r="D178" i="6"/>
  <c r="D179" i="6"/>
  <c r="D180" i="6"/>
  <c r="D181" i="6"/>
  <c r="D182" i="6"/>
  <c r="D183" i="6"/>
  <c r="D184" i="6"/>
  <c r="D163" i="6"/>
  <c r="H62" i="6"/>
  <c r="H63" i="6" s="1"/>
  <c r="F62" i="6"/>
  <c r="F63" i="6" s="1"/>
  <c r="D62" i="6"/>
  <c r="D63" i="6" s="1"/>
  <c r="H59" i="6"/>
  <c r="H60" i="6" s="1"/>
  <c r="F59" i="6"/>
  <c r="F60" i="6" s="1"/>
  <c r="D59" i="6"/>
  <c r="D60" i="6" s="1"/>
  <c r="H56" i="6"/>
  <c r="H57" i="6" s="1"/>
  <c r="F56" i="6"/>
  <c r="F57" i="6" s="1"/>
  <c r="D56" i="6"/>
  <c r="D57" i="6" s="1"/>
  <c r="H53" i="6"/>
  <c r="H54" i="6" s="1"/>
  <c r="F53" i="6"/>
  <c r="F54" i="6" s="1"/>
  <c r="D53" i="6"/>
  <c r="D54" i="6" s="1"/>
  <c r="H50" i="6"/>
  <c r="H51" i="6" s="1"/>
  <c r="F50" i="6"/>
  <c r="F51" i="6" s="1"/>
  <c r="D50" i="6"/>
  <c r="D51" i="6" s="1"/>
  <c r="H47" i="6"/>
  <c r="F47" i="6"/>
  <c r="D47" i="6"/>
  <c r="H44" i="6"/>
  <c r="H45" i="6" s="1"/>
  <c r="F44" i="6"/>
  <c r="F45" i="6" s="1"/>
  <c r="D44" i="6"/>
  <c r="D45" i="6" s="1"/>
  <c r="H41" i="6"/>
  <c r="H42" i="6" s="1"/>
  <c r="F41" i="6"/>
  <c r="D41" i="6"/>
  <c r="D42" i="6" s="1"/>
  <c r="H48" i="6" l="1"/>
  <c r="F48" i="6"/>
  <c r="F42" i="6"/>
  <c r="D48" i="6"/>
  <c r="AM48" i="7" l="1"/>
  <c r="AL48" i="7"/>
  <c r="AK48" i="7"/>
  <c r="AM47" i="7"/>
  <c r="AL47" i="7"/>
  <c r="AK47" i="7"/>
  <c r="AM46" i="7"/>
  <c r="AL46" i="7"/>
  <c r="AK46" i="7"/>
  <c r="AM45" i="7"/>
  <c r="AL45" i="7"/>
  <c r="AK45" i="7"/>
  <c r="AM44" i="7"/>
  <c r="AL44" i="7"/>
  <c r="AK44" i="7"/>
  <c r="AM43" i="7"/>
  <c r="AL43" i="7"/>
  <c r="AK43" i="7"/>
  <c r="AM40" i="7"/>
  <c r="AL40" i="7"/>
  <c r="AK40" i="7"/>
  <c r="AM39" i="7"/>
  <c r="AL39" i="7"/>
  <c r="AK39" i="7"/>
  <c r="AM38" i="7"/>
  <c r="AL38" i="7"/>
  <c r="AK38" i="7"/>
  <c r="AM37" i="7"/>
  <c r="AL37" i="7"/>
  <c r="AK37" i="7"/>
  <c r="AM36" i="7"/>
  <c r="AL36" i="7"/>
  <c r="AK36" i="7"/>
  <c r="AM35" i="7"/>
  <c r="AL35" i="7"/>
  <c r="AK35" i="7"/>
  <c r="AM32" i="7"/>
  <c r="AL32" i="7"/>
  <c r="AK32" i="7"/>
  <c r="AM31" i="7"/>
  <c r="AL31" i="7"/>
  <c r="AK31" i="7"/>
  <c r="AM30" i="7"/>
  <c r="AL30" i="7"/>
  <c r="AK30" i="7"/>
  <c r="AM29" i="7"/>
  <c r="AL29" i="7"/>
  <c r="AK29" i="7"/>
  <c r="AM28" i="7"/>
  <c r="AL28" i="7"/>
  <c r="AK28" i="7"/>
  <c r="AM27" i="7"/>
  <c r="AL27" i="7"/>
  <c r="AK27" i="7"/>
  <c r="AM24" i="7"/>
  <c r="AL24" i="7"/>
  <c r="AK24" i="7"/>
  <c r="AM23" i="7"/>
  <c r="AL23" i="7"/>
  <c r="AK23" i="7"/>
  <c r="AM22" i="7"/>
  <c r="AL22" i="7"/>
  <c r="AK22" i="7"/>
  <c r="AM21" i="7"/>
  <c r="AL21" i="7"/>
  <c r="AK21" i="7"/>
  <c r="AM20" i="7"/>
  <c r="AL20" i="7"/>
  <c r="AK20" i="7"/>
  <c r="AM19" i="7"/>
  <c r="AL19" i="7"/>
  <c r="AK19" i="7"/>
  <c r="AM16" i="7"/>
  <c r="AL16" i="7"/>
  <c r="AK16" i="7"/>
  <c r="AM15" i="7"/>
  <c r="AL15" i="7"/>
  <c r="AK15" i="7"/>
  <c r="AM14" i="7"/>
  <c r="AL14" i="7"/>
  <c r="AK14" i="7"/>
  <c r="AM13" i="7"/>
  <c r="AL13" i="7"/>
  <c r="AK13" i="7"/>
  <c r="AM12" i="7"/>
  <c r="AL12" i="7"/>
  <c r="AK12" i="7"/>
  <c r="AM11" i="7"/>
  <c r="AL11" i="7"/>
  <c r="AK11" i="7"/>
  <c r="AM8" i="7"/>
  <c r="AL8" i="7"/>
  <c r="AK8" i="7"/>
  <c r="AM7" i="7"/>
  <c r="AL7" i="7"/>
  <c r="AK7" i="7"/>
  <c r="AM6" i="7"/>
  <c r="AL6" i="7"/>
  <c r="AK6" i="7"/>
  <c r="AM5" i="7"/>
  <c r="AL5" i="7"/>
  <c r="AK5" i="7"/>
  <c r="AM4" i="7"/>
  <c r="AL4" i="7"/>
  <c r="AK4" i="7"/>
  <c r="AM3" i="7"/>
  <c r="AL3" i="7"/>
  <c r="AK3" i="7"/>
  <c r="J75" i="7" l="1"/>
  <c r="J71" i="7"/>
  <c r="J70" i="7"/>
  <c r="J66" i="7"/>
  <c r="J65" i="7"/>
  <c r="J64" i="7"/>
  <c r="J63" i="7"/>
  <c r="J59" i="7"/>
  <c r="J58" i="7"/>
  <c r="J57" i="7"/>
  <c r="J56" i="7"/>
  <c r="J55" i="7"/>
  <c r="J54" i="7"/>
  <c r="J53" i="7"/>
  <c r="J52" i="7"/>
  <c r="J49" i="7"/>
  <c r="G49" i="9" s="1"/>
  <c r="J48" i="7"/>
  <c r="G48" i="9" s="1"/>
  <c r="J47" i="7"/>
  <c r="G47" i="9" s="1"/>
  <c r="J46" i="7"/>
  <c r="G46" i="9" s="1"/>
  <c r="J45" i="7"/>
  <c r="G45" i="9" s="1"/>
  <c r="J44" i="7"/>
  <c r="G44" i="9" s="1"/>
  <c r="J41" i="7"/>
  <c r="G41" i="9" s="1"/>
  <c r="J40" i="7"/>
  <c r="G40" i="9" s="1"/>
  <c r="J39" i="7"/>
  <c r="G39" i="9" s="1"/>
  <c r="J38" i="7"/>
  <c r="G38" i="9" s="1"/>
  <c r="J37" i="7"/>
  <c r="G37" i="9" s="1"/>
  <c r="J36" i="7"/>
  <c r="G36" i="9" s="1"/>
  <c r="J33" i="7"/>
  <c r="G33" i="9" s="1"/>
  <c r="J32" i="7"/>
  <c r="G32" i="9" s="1"/>
  <c r="J31" i="7"/>
  <c r="G31" i="9" s="1"/>
  <c r="J30" i="7"/>
  <c r="G30" i="9" s="1"/>
  <c r="J29" i="7"/>
  <c r="G29" i="9" s="1"/>
  <c r="J28" i="7"/>
  <c r="G28" i="9" s="1"/>
  <c r="J25" i="7"/>
  <c r="G25" i="9" s="1"/>
  <c r="J24" i="7"/>
  <c r="G24" i="9" s="1"/>
  <c r="J23" i="7"/>
  <c r="G23" i="9" s="1"/>
  <c r="J22" i="7"/>
  <c r="G22" i="9" s="1"/>
  <c r="J21" i="7"/>
  <c r="G21" i="9" s="1"/>
  <c r="J20" i="7"/>
  <c r="G20" i="9" s="1"/>
  <c r="J17" i="7"/>
  <c r="G17" i="9" s="1"/>
  <c r="J16" i="7"/>
  <c r="G16" i="9" s="1"/>
  <c r="J15" i="7"/>
  <c r="G15" i="9" s="1"/>
  <c r="J14" i="7"/>
  <c r="G14" i="9" s="1"/>
  <c r="J13" i="7"/>
  <c r="G13" i="9" s="1"/>
  <c r="J12" i="7"/>
  <c r="G12" i="9" s="1"/>
  <c r="J9" i="7"/>
  <c r="G9" i="9" s="1"/>
  <c r="J8" i="7"/>
  <c r="G8" i="9" s="1"/>
  <c r="J7" i="7"/>
  <c r="G7" i="9" s="1"/>
  <c r="J6" i="7"/>
  <c r="G6" i="9" s="1"/>
  <c r="J5" i="7"/>
  <c r="G5" i="9" s="1"/>
  <c r="J4" i="7"/>
  <c r="G4" i="9" s="1"/>
  <c r="G1" i="7"/>
  <c r="D1" i="9" s="1"/>
  <c r="G53" i="9" l="1"/>
  <c r="G65" i="9"/>
  <c r="G55" i="9"/>
  <c r="G66" i="9"/>
  <c r="G56" i="9"/>
  <c r="G67" i="9"/>
  <c r="G58" i="9"/>
  <c r="G72" i="9"/>
  <c r="G64" i="9"/>
  <c r="G54" i="9"/>
  <c r="G59" i="9"/>
  <c r="G76" i="9"/>
  <c r="G57" i="9"/>
  <c r="G71" i="9"/>
  <c r="G60" i="9"/>
  <c r="B200" i="6"/>
  <c r="C200" i="6" s="1"/>
  <c r="B13" i="6" s="1"/>
  <c r="D124" i="9"/>
  <c r="D126" i="9"/>
  <c r="D128" i="9"/>
  <c r="D130" i="9"/>
  <c r="D132" i="9"/>
  <c r="D134" i="9"/>
  <c r="D136" i="9"/>
  <c r="B2" i="2"/>
  <c r="C2" i="2"/>
  <c r="D2" i="2"/>
  <c r="E2" i="2"/>
  <c r="F2" i="2"/>
  <c r="G2" i="2"/>
  <c r="A3" i="2"/>
  <c r="A4" i="2"/>
  <c r="A5" i="2"/>
  <c r="A6" i="2"/>
  <c r="B8" i="2"/>
  <c r="C8" i="2"/>
  <c r="D8" i="2"/>
  <c r="E8" i="2"/>
  <c r="F8" i="2"/>
  <c r="G8" i="2"/>
  <c r="A9" i="2"/>
  <c r="A10" i="2"/>
  <c r="A11" i="2"/>
  <c r="A12" i="2"/>
  <c r="B14" i="2"/>
  <c r="C14" i="2"/>
  <c r="D14" i="2"/>
  <c r="E14" i="2"/>
  <c r="F14" i="2"/>
  <c r="G14" i="2"/>
  <c r="A15" i="2"/>
  <c r="A16" i="2"/>
  <c r="A17" i="2"/>
  <c r="A18" i="2"/>
  <c r="B20" i="2"/>
  <c r="C20" i="2"/>
  <c r="D20" i="2"/>
  <c r="E20" i="2"/>
  <c r="F20" i="2"/>
  <c r="G20" i="2"/>
  <c r="A21" i="2"/>
  <c r="A22" i="2"/>
  <c r="A23" i="2"/>
  <c r="A24" i="2"/>
  <c r="B26" i="2"/>
  <c r="C26" i="2"/>
  <c r="D26" i="2"/>
  <c r="E26" i="2"/>
  <c r="F26" i="2"/>
  <c r="G26" i="2"/>
  <c r="A27" i="2"/>
  <c r="A28" i="2"/>
  <c r="A29" i="2"/>
  <c r="A30" i="2"/>
  <c r="B32" i="2"/>
  <c r="C32" i="2"/>
  <c r="D32" i="2"/>
  <c r="E32" i="2"/>
  <c r="F32" i="2"/>
  <c r="G32" i="2"/>
  <c r="A33" i="2"/>
  <c r="A34" i="2"/>
  <c r="A35" i="2"/>
  <c r="A36" i="2"/>
  <c r="B39" i="2"/>
  <c r="C39" i="2"/>
  <c r="D39" i="2"/>
  <c r="E39" i="2"/>
  <c r="F39" i="2"/>
  <c r="G39" i="2"/>
  <c r="A40" i="2"/>
  <c r="A41" i="2"/>
  <c r="A42" i="2"/>
  <c r="A43" i="2"/>
  <c r="B45" i="2"/>
  <c r="C45" i="2"/>
  <c r="D45" i="2"/>
  <c r="E45" i="2"/>
  <c r="F45" i="2"/>
  <c r="G45" i="2"/>
  <c r="A46" i="2"/>
  <c r="A47" i="2"/>
  <c r="A48" i="2"/>
  <c r="A49" i="2"/>
  <c r="B119" i="6" l="1"/>
  <c r="M41" i="7" s="1"/>
  <c r="A144" i="9" s="1"/>
  <c r="B117" i="6"/>
  <c r="M37" i="7" s="1"/>
  <c r="A140" i="9" s="1"/>
  <c r="B116" i="6"/>
  <c r="M35" i="7" s="1"/>
  <c r="A138" i="9" s="1"/>
  <c r="B118" i="6"/>
  <c r="M39" i="7" s="1"/>
  <c r="A142" i="9" s="1"/>
  <c r="B123" i="6"/>
  <c r="M47" i="7" s="1"/>
  <c r="B164" i="6"/>
  <c r="BG10" i="7" s="1"/>
  <c r="B172" i="6"/>
  <c r="BG13" i="7" s="1"/>
  <c r="B180" i="6"/>
  <c r="BG20" i="7" s="1"/>
  <c r="B196" i="6"/>
  <c r="B165" i="6"/>
  <c r="BG24" i="7" s="1"/>
  <c r="B173" i="6"/>
  <c r="BG12" i="7" s="1"/>
  <c r="B181" i="6"/>
  <c r="BG21" i="7" s="1"/>
  <c r="B166" i="6"/>
  <c r="BG26" i="7" s="1"/>
  <c r="B174" i="6"/>
  <c r="BG14" i="7" s="1"/>
  <c r="B182" i="6"/>
  <c r="BG25" i="7" s="1"/>
  <c r="B167" i="6"/>
  <c r="BG4" i="7" s="1"/>
  <c r="B175" i="6"/>
  <c r="BG6" i="7" s="1"/>
  <c r="B183" i="6"/>
  <c r="BG9" i="7" s="1"/>
  <c r="B168" i="6"/>
  <c r="BG7" i="7" s="1"/>
  <c r="B176" i="6"/>
  <c r="BG11" i="7" s="1"/>
  <c r="B184" i="6"/>
  <c r="BG17" i="7" s="1"/>
  <c r="B169" i="6"/>
  <c r="BG3" i="7" s="1"/>
  <c r="B185" i="6"/>
  <c r="BG8" i="7" s="1"/>
  <c r="B178" i="6"/>
  <c r="BG22" i="7" s="1"/>
  <c r="B177" i="6"/>
  <c r="BG19" i="7" s="1"/>
  <c r="B170" i="6"/>
  <c r="BG18" i="7" s="1"/>
  <c r="B186" i="6"/>
  <c r="BG5" i="7" s="1"/>
  <c r="B179" i="6"/>
  <c r="BG16" i="7" s="1"/>
  <c r="B171" i="6"/>
  <c r="BG15" i="7" s="1"/>
  <c r="B154" i="6"/>
  <c r="R78" i="7" s="1"/>
  <c r="B129" i="6"/>
  <c r="M54" i="7" s="1"/>
  <c r="B54" i="6"/>
  <c r="B152" i="6"/>
  <c r="M86" i="7" s="1"/>
  <c r="M49" i="7"/>
  <c r="B50" i="6"/>
  <c r="B151" i="6"/>
  <c r="M85" i="7" s="1"/>
  <c r="B38" i="6"/>
  <c r="B149" i="6"/>
  <c r="M83" i="7" s="1"/>
  <c r="B137" i="6"/>
  <c r="M70" i="7" s="1"/>
  <c r="B110" i="6"/>
  <c r="M23" i="7" s="1"/>
  <c r="A126" i="9" s="1"/>
  <c r="B90" i="6"/>
  <c r="B60" i="6"/>
  <c r="B67" i="6"/>
  <c r="B8" i="6"/>
  <c r="D12" i="7" s="1"/>
  <c r="B74" i="6"/>
  <c r="B10" i="6"/>
  <c r="D13" i="7" s="1"/>
  <c r="B22" i="6"/>
  <c r="D29" i="7" s="1"/>
  <c r="B47" i="6"/>
  <c r="B84" i="6"/>
  <c r="B27" i="6"/>
  <c r="B198" i="6"/>
  <c r="N3" i="7" s="1"/>
  <c r="B77" i="6"/>
  <c r="B43" i="6"/>
  <c r="B45" i="6"/>
  <c r="B81" i="6"/>
  <c r="B57" i="6"/>
  <c r="B55" i="6"/>
  <c r="B19" i="6"/>
  <c r="B41" i="6"/>
  <c r="B9" i="6"/>
  <c r="F12" i="7" s="1"/>
  <c r="B65" i="6"/>
  <c r="B112" i="6"/>
  <c r="M27" i="7" s="1"/>
  <c r="A130" i="9" s="1"/>
  <c r="B121" i="6"/>
  <c r="M44" i="7" s="1"/>
  <c r="B126" i="6"/>
  <c r="M50" i="7" s="1"/>
  <c r="B128" i="6"/>
  <c r="M52" i="7" s="1"/>
  <c r="B130" i="6"/>
  <c r="M56" i="7" s="1"/>
  <c r="B132" i="6"/>
  <c r="M60" i="7" s="1"/>
  <c r="B134" i="6"/>
  <c r="M64" i="7" s="1"/>
  <c r="B136" i="6"/>
  <c r="M68" i="7" s="1"/>
  <c r="B140" i="6"/>
  <c r="M74" i="7" s="1"/>
  <c r="B143" i="6"/>
  <c r="M76" i="7" s="1"/>
  <c r="B145" i="6"/>
  <c r="M79" i="7" s="1"/>
  <c r="B124" i="6"/>
  <c r="M48" i="7" s="1"/>
  <c r="B91" i="6"/>
  <c r="B23" i="6"/>
  <c r="F29" i="7" s="1"/>
  <c r="B14" i="6"/>
  <c r="D20" i="7" s="1"/>
  <c r="D23" i="7" s="1"/>
  <c r="B28" i="6"/>
  <c r="B70" i="6"/>
  <c r="B21" i="6"/>
  <c r="F28" i="7" s="1"/>
  <c r="B31" i="6"/>
  <c r="B75" i="6"/>
  <c r="B15" i="6"/>
  <c r="F20" i="7" s="1"/>
  <c r="D22" i="7" s="1"/>
  <c r="B51" i="6"/>
  <c r="B3" i="6"/>
  <c r="F4" i="7" s="1"/>
  <c r="B73" i="6"/>
  <c r="B29" i="6"/>
  <c r="F37" i="7" s="1"/>
  <c r="F38" i="7" s="1"/>
  <c r="B1" i="6"/>
  <c r="B61" i="6"/>
  <c r="B7" i="6"/>
  <c r="B69" i="6"/>
  <c r="B49" i="6"/>
  <c r="B11" i="6"/>
  <c r="F13" i="7" s="1"/>
  <c r="B72" i="6"/>
  <c r="B48" i="6"/>
  <c r="B162" i="6"/>
  <c r="B79" i="6"/>
  <c r="B40" i="6"/>
  <c r="B66" i="6"/>
  <c r="B89" i="6"/>
  <c r="B93" i="6"/>
  <c r="M3" i="7" s="1"/>
  <c r="B95" i="6"/>
  <c r="M5" i="7" s="1"/>
  <c r="B97" i="6"/>
  <c r="M8" i="7" s="1"/>
  <c r="B100" i="6"/>
  <c r="M11" i="7" s="1"/>
  <c r="B102" i="6"/>
  <c r="M13" i="7" s="1"/>
  <c r="B104" i="6"/>
  <c r="M15" i="7" s="1"/>
  <c r="B106" i="6"/>
  <c r="M17" i="7" s="1"/>
  <c r="B109" i="6"/>
  <c r="M21" i="7" s="1"/>
  <c r="A124" i="9" s="1"/>
  <c r="B113" i="6"/>
  <c r="M29" i="7" s="1"/>
  <c r="A132" i="9" s="1"/>
  <c r="B122" i="6"/>
  <c r="M46" i="7" s="1"/>
  <c r="B35" i="6"/>
  <c r="B33" i="6"/>
  <c r="B25" i="6"/>
  <c r="B78" i="6"/>
  <c r="B5" i="6"/>
  <c r="F5" i="7" s="1"/>
  <c r="AN4" i="7" s="1"/>
  <c r="B63" i="6"/>
  <c r="B39" i="6"/>
  <c r="F1" i="7" s="1"/>
  <c r="C1" i="9" s="1"/>
  <c r="B42" i="6"/>
  <c r="B87" i="6"/>
  <c r="B86" i="6"/>
  <c r="B76" i="6"/>
  <c r="B92" i="6"/>
  <c r="M1" i="7" s="1"/>
  <c r="B96" i="6"/>
  <c r="M6" i="7" s="1"/>
  <c r="B101" i="6"/>
  <c r="M12" i="7" s="1"/>
  <c r="B105" i="6"/>
  <c r="M16" i="7" s="1"/>
  <c r="B111" i="6"/>
  <c r="M25" i="7" s="1"/>
  <c r="A128" i="9" s="1"/>
  <c r="B158" i="6"/>
  <c r="M91" i="7" s="1"/>
  <c r="B159" i="6"/>
  <c r="M92" i="7" s="1"/>
  <c r="B80" i="6"/>
  <c r="B62" i="6"/>
  <c r="B20" i="6"/>
  <c r="D28" i="7" s="1"/>
  <c r="B85" i="6"/>
  <c r="B26" i="6"/>
  <c r="B17" i="6"/>
  <c r="F21" i="7" s="1"/>
  <c r="F22" i="7" s="1"/>
  <c r="B71" i="6"/>
  <c r="B44" i="6"/>
  <c r="B52" i="6"/>
  <c r="B46" i="6"/>
  <c r="B99" i="6"/>
  <c r="B114" i="6"/>
  <c r="M31" i="7" s="1"/>
  <c r="A134" i="9" s="1"/>
  <c r="B127" i="6"/>
  <c r="M51" i="7" s="1"/>
  <c r="B131" i="6"/>
  <c r="M58" i="7" s="1"/>
  <c r="B135" i="6"/>
  <c r="M66" i="7" s="1"/>
  <c r="B139" i="6"/>
  <c r="M72" i="7" s="1"/>
  <c r="B146" i="6"/>
  <c r="M80" i="7" s="1"/>
  <c r="B148" i="6"/>
  <c r="M82" i="7" s="1"/>
  <c r="B150" i="6"/>
  <c r="M84" i="7" s="1"/>
  <c r="B153" i="6"/>
  <c r="O86" i="7" s="1"/>
  <c r="B155" i="6"/>
  <c r="B2" i="6"/>
  <c r="D4" i="7" s="1"/>
  <c r="B163" i="6"/>
  <c r="BG23" i="7" s="1"/>
  <c r="B53" i="6"/>
  <c r="B4" i="6"/>
  <c r="D5" i="7" s="1"/>
  <c r="AJ4" i="7" s="1"/>
  <c r="B82" i="6"/>
  <c r="B64" i="6"/>
  <c r="B94" i="6"/>
  <c r="M4" i="7" s="1"/>
  <c r="B103" i="6"/>
  <c r="M14" i="7" s="1"/>
  <c r="B115" i="6"/>
  <c r="B156" i="6"/>
  <c r="B32" i="6"/>
  <c r="B83" i="6"/>
  <c r="B58" i="6"/>
  <c r="B88" i="6"/>
  <c r="B98" i="6"/>
  <c r="M10" i="7" s="1"/>
  <c r="B108" i="6"/>
  <c r="B144" i="6"/>
  <c r="M78" i="7" s="1"/>
  <c r="B141" i="6"/>
  <c r="M88" i="7" s="1"/>
  <c r="B59" i="6"/>
  <c r="B157" i="6"/>
  <c r="B147" i="6"/>
  <c r="M81" i="7" s="1"/>
  <c r="B133" i="6"/>
  <c r="M62" i="7" s="1"/>
  <c r="B68" i="6"/>
  <c r="B56" i="6"/>
  <c r="B16" i="6"/>
  <c r="D21" i="7" s="1"/>
  <c r="F23" i="7" s="1"/>
  <c r="B34" i="6"/>
  <c r="D27" i="7" l="1"/>
  <c r="D19" i="7"/>
  <c r="D11" i="7"/>
  <c r="D43" i="7"/>
  <c r="D35" i="7"/>
  <c r="B35" i="7"/>
  <c r="A35" i="9" s="1"/>
  <c r="B11" i="7"/>
  <c r="A11" i="9" s="1"/>
  <c r="B27" i="7"/>
  <c r="A27" i="9" s="1"/>
  <c r="B19" i="7"/>
  <c r="A19" i="9" s="1"/>
  <c r="C28" i="9"/>
  <c r="AN27" i="7"/>
  <c r="A29" i="9"/>
  <c r="AJ28" i="7"/>
  <c r="C21" i="9"/>
  <c r="AN20" i="7"/>
  <c r="A13" i="9"/>
  <c r="AJ12" i="7"/>
  <c r="C13" i="9"/>
  <c r="AN12" i="7"/>
  <c r="C4" i="9"/>
  <c r="AN3" i="7"/>
  <c r="A20" i="9"/>
  <c r="AJ19" i="7"/>
  <c r="C12" i="9"/>
  <c r="AN11" i="7"/>
  <c r="C29" i="9"/>
  <c r="AN28" i="7"/>
  <c r="A12" i="9"/>
  <c r="AJ11" i="7"/>
  <c r="C20" i="9"/>
  <c r="AN19" i="7"/>
  <c r="C37" i="9"/>
  <c r="AN36" i="7"/>
  <c r="A21" i="9"/>
  <c r="AJ20" i="7"/>
  <c r="A4" i="9"/>
  <c r="AJ3" i="7"/>
  <c r="A28" i="9"/>
  <c r="AJ27" i="7"/>
  <c r="M33" i="7"/>
  <c r="A136" i="9" s="1"/>
  <c r="R35" i="7"/>
  <c r="Q35" i="7"/>
  <c r="V35" i="7"/>
  <c r="N35" i="7"/>
  <c r="P35" i="7"/>
  <c r="O35" i="7"/>
  <c r="U35" i="7"/>
  <c r="S35" i="7"/>
  <c r="T35" i="7"/>
  <c r="A5" i="9"/>
  <c r="F6" i="7"/>
  <c r="C5" i="9"/>
  <c r="F7" i="7"/>
  <c r="B62" i="7"/>
  <c r="A63" i="9" s="1"/>
  <c r="A98" i="9"/>
  <c r="B69" i="7"/>
  <c r="A70" i="9" s="1"/>
  <c r="A108" i="9"/>
  <c r="B78" i="7"/>
  <c r="A118" i="9"/>
  <c r="B74" i="7"/>
  <c r="A75" i="9" s="1"/>
  <c r="A114" i="9"/>
  <c r="B51" i="7"/>
  <c r="A52" i="9" s="1"/>
  <c r="A80" i="9"/>
  <c r="AQ36" i="7"/>
  <c r="BF29" i="7" s="1"/>
  <c r="F36" i="7"/>
  <c r="D41" i="7"/>
  <c r="F9" i="7"/>
  <c r="D6" i="7"/>
  <c r="D24" i="7"/>
  <c r="D40" i="7"/>
  <c r="D30" i="7"/>
  <c r="D33" i="7"/>
  <c r="AQ44" i="7"/>
  <c r="BF35" i="7" s="1"/>
  <c r="F44" i="7"/>
  <c r="AN43" i="7" s="1"/>
  <c r="D49" i="7"/>
  <c r="D9" i="7"/>
  <c r="D15" i="7"/>
  <c r="F17" i="7"/>
  <c r="AQ35" i="7"/>
  <c r="BF28" i="7" s="1"/>
  <c r="D36" i="7"/>
  <c r="F40" i="7"/>
  <c r="D17" i="7"/>
  <c r="F14" i="7"/>
  <c r="D32" i="7"/>
  <c r="F30" i="7"/>
  <c r="F15" i="7"/>
  <c r="F16" i="7"/>
  <c r="F8" i="7"/>
  <c r="D7" i="7"/>
  <c r="D8" i="7"/>
  <c r="D14" i="7"/>
  <c r="D16" i="7"/>
  <c r="AQ46" i="7"/>
  <c r="BF37" i="7" s="1"/>
  <c r="D48" i="7"/>
  <c r="F45" i="7"/>
  <c r="AN44" i="7" s="1"/>
  <c r="AQ45" i="7"/>
  <c r="BF36" i="7" s="1"/>
  <c r="D45" i="7"/>
  <c r="AJ44" i="7" s="1"/>
  <c r="F49" i="7"/>
  <c r="AQ43" i="7"/>
  <c r="BF34" i="7" s="1"/>
  <c r="D44" i="7"/>
  <c r="AJ43" i="7" s="1"/>
  <c r="F48" i="7"/>
  <c r="D31" i="7"/>
  <c r="F32" i="7"/>
  <c r="AQ37" i="7"/>
  <c r="BF30" i="7" s="1"/>
  <c r="F41" i="7"/>
  <c r="D37" i="7"/>
  <c r="F25" i="7"/>
  <c r="D25" i="7"/>
  <c r="F24" i="7"/>
  <c r="F33" i="7"/>
  <c r="F31" i="7"/>
  <c r="AQ13" i="7"/>
  <c r="BF12" i="7" s="1"/>
  <c r="AQ3" i="7"/>
  <c r="BF4" i="7" s="1"/>
  <c r="AQ22" i="7"/>
  <c r="BF19" i="7" s="1"/>
  <c r="AQ38" i="7"/>
  <c r="BF31" i="7" s="1"/>
  <c r="AQ28" i="7"/>
  <c r="BF23" i="7" s="1"/>
  <c r="AQ6" i="7"/>
  <c r="BF7" i="7" s="1"/>
  <c r="AQ11" i="7"/>
  <c r="BF10" i="7" s="1"/>
  <c r="AQ14" i="7"/>
  <c r="BF13" i="7" s="1"/>
  <c r="AQ30" i="7"/>
  <c r="BF25" i="7" s="1"/>
  <c r="AQ5" i="7"/>
  <c r="BF6" i="7" s="1"/>
  <c r="AQ4" i="7"/>
  <c r="BF5" i="7" s="1"/>
  <c r="AQ12" i="7"/>
  <c r="BF11" i="7" s="1"/>
  <c r="AQ27" i="7"/>
  <c r="BF22" i="7" s="1"/>
  <c r="AQ21" i="7"/>
  <c r="BF18" i="7" s="1"/>
  <c r="AQ20" i="7"/>
  <c r="BF17" i="7" s="1"/>
  <c r="AQ19" i="7"/>
  <c r="BF16" i="7" s="1"/>
  <c r="AQ29" i="7"/>
  <c r="BF24" i="7" s="1"/>
  <c r="B43" i="7"/>
  <c r="A43" i="9" s="1"/>
  <c r="D62" i="7"/>
  <c r="D51" i="7"/>
  <c r="D74" i="7"/>
  <c r="D69" i="7"/>
  <c r="D3" i="7"/>
  <c r="G19" i="7"/>
  <c r="D19" i="9" s="1"/>
  <c r="G74" i="7"/>
  <c r="D75" i="9" s="1"/>
  <c r="G11" i="7"/>
  <c r="D11" i="9" s="1"/>
  <c r="G69" i="7"/>
  <c r="D70" i="9" s="1"/>
  <c r="G62" i="7"/>
  <c r="D63" i="9" s="1"/>
  <c r="G3" i="7"/>
  <c r="D3" i="9" s="1"/>
  <c r="G51" i="7"/>
  <c r="D52" i="9" s="1"/>
  <c r="G43" i="7"/>
  <c r="D43" i="9" s="1"/>
  <c r="G35" i="7"/>
  <c r="D35" i="9" s="1"/>
  <c r="G27" i="7"/>
  <c r="D27" i="9" s="1"/>
  <c r="J74" i="7"/>
  <c r="G75" i="9" s="1"/>
  <c r="J11" i="7"/>
  <c r="J69" i="7"/>
  <c r="G70" i="9" s="1"/>
  <c r="J62" i="7"/>
  <c r="G63" i="9" s="1"/>
  <c r="J3" i="7"/>
  <c r="G3" i="9" s="1"/>
  <c r="J51" i="7"/>
  <c r="G52" i="9" s="1"/>
  <c r="J43" i="7"/>
  <c r="G43" i="9" s="1"/>
  <c r="J35" i="7"/>
  <c r="G35" i="9" s="1"/>
  <c r="J27" i="7"/>
  <c r="G27" i="9" s="1"/>
  <c r="J19" i="7"/>
  <c r="G19" i="9" s="1"/>
  <c r="B3" i="7"/>
  <c r="A3" i="9" s="1"/>
  <c r="B1" i="7"/>
  <c r="A1" i="9" s="1"/>
  <c r="M90" i="7"/>
  <c r="A123" i="9"/>
  <c r="M19" i="7"/>
  <c r="BH36" i="7" l="1"/>
  <c r="BG40" i="7"/>
  <c r="BG34" i="7"/>
  <c r="BH52" i="7"/>
  <c r="BG52" i="7"/>
  <c r="AN35" i="7"/>
  <c r="D38" i="7"/>
  <c r="BH58" i="7"/>
  <c r="BG58" i="7"/>
  <c r="BH50" i="7"/>
  <c r="BG50" i="7"/>
  <c r="BG32" i="7"/>
  <c r="BG45" i="7"/>
  <c r="BH41" i="7"/>
  <c r="BG38" i="7"/>
  <c r="BH34" i="7"/>
  <c r="BG64" i="7"/>
  <c r="BG39" i="7"/>
  <c r="BG65" i="7"/>
  <c r="BH35" i="7"/>
  <c r="BH56" i="7"/>
  <c r="BG56" i="7"/>
  <c r="BH38" i="7"/>
  <c r="BG42" i="7"/>
  <c r="BH42" i="7"/>
  <c r="BG46" i="7"/>
  <c r="AJ35" i="7"/>
  <c r="D39" i="7"/>
  <c r="BH37" i="7"/>
  <c r="BG41" i="7"/>
  <c r="BH57" i="7"/>
  <c r="BG57" i="7"/>
  <c r="BH59" i="7"/>
  <c r="BG59" i="7"/>
  <c r="BH60" i="7"/>
  <c r="BG60" i="7"/>
  <c r="BH53" i="7"/>
  <c r="BG53" i="7"/>
  <c r="BG35" i="7"/>
  <c r="BG47" i="7"/>
  <c r="BH43" i="7"/>
  <c r="BH54" i="7"/>
  <c r="BG54" i="7"/>
  <c r="BG36" i="7"/>
  <c r="BG62" i="7"/>
  <c r="BH32" i="7"/>
  <c r="BG37" i="7"/>
  <c r="BG63" i="7"/>
  <c r="BH33" i="7"/>
  <c r="BH39" i="7"/>
  <c r="BG43" i="7"/>
  <c r="BG44" i="7"/>
  <c r="BH40" i="7"/>
  <c r="BG55" i="7"/>
  <c r="BH55" i="7"/>
  <c r="BH51" i="7"/>
  <c r="BG51" i="7"/>
  <c r="BG33" i="7"/>
  <c r="BH61" i="7"/>
  <c r="BG61" i="7"/>
  <c r="AJ36" i="7"/>
  <c r="F39" i="7"/>
  <c r="A30" i="9"/>
  <c r="AJ29" i="7"/>
  <c r="C30" i="9"/>
  <c r="AN29" i="7"/>
  <c r="A15" i="9"/>
  <c r="AJ14" i="7"/>
  <c r="A40" i="9"/>
  <c r="AJ39" i="7"/>
  <c r="C33" i="9"/>
  <c r="AN32" i="7"/>
  <c r="C41" i="9"/>
  <c r="AN40" i="7"/>
  <c r="A7" i="9"/>
  <c r="AJ6" i="7"/>
  <c r="C40" i="9"/>
  <c r="AN39" i="7"/>
  <c r="C24" i="9"/>
  <c r="AN23" i="7"/>
  <c r="C23" i="9"/>
  <c r="AN22" i="7"/>
  <c r="C16" i="9"/>
  <c r="AN15" i="7"/>
  <c r="C22" i="9"/>
  <c r="AN21" i="7"/>
  <c r="A31" i="9"/>
  <c r="AJ30" i="7"/>
  <c r="A48" i="9"/>
  <c r="AJ47" i="7"/>
  <c r="C15" i="9"/>
  <c r="AN14" i="7"/>
  <c r="C17" i="9"/>
  <c r="AN16" i="7"/>
  <c r="A38" i="9"/>
  <c r="AJ37" i="7"/>
  <c r="A25" i="9"/>
  <c r="AJ24" i="7"/>
  <c r="C48" i="9"/>
  <c r="AN47" i="7"/>
  <c r="C25" i="9"/>
  <c r="AN24" i="7"/>
  <c r="A16" i="9"/>
  <c r="AJ15" i="7"/>
  <c r="A32" i="9"/>
  <c r="AJ31" i="7"/>
  <c r="A9" i="9"/>
  <c r="AJ8" i="7"/>
  <c r="A22" i="9"/>
  <c r="AJ21" i="7"/>
  <c r="A14" i="9"/>
  <c r="AJ13" i="7"/>
  <c r="C14" i="9"/>
  <c r="AN13" i="7"/>
  <c r="A49" i="9"/>
  <c r="AJ48" i="7"/>
  <c r="A24" i="9"/>
  <c r="AJ23" i="7"/>
  <c r="C7" i="9"/>
  <c r="AN6" i="7"/>
  <c r="C32" i="9"/>
  <c r="AN31" i="7"/>
  <c r="A23" i="9"/>
  <c r="AJ22" i="7"/>
  <c r="C31" i="9"/>
  <c r="AN30" i="7"/>
  <c r="C49" i="9"/>
  <c r="AN48" i="7"/>
  <c r="A8" i="9"/>
  <c r="AJ7" i="7"/>
  <c r="A17" i="9"/>
  <c r="AJ16" i="7"/>
  <c r="A6" i="9"/>
  <c r="AJ5" i="7"/>
  <c r="C9" i="9"/>
  <c r="AN8" i="7"/>
  <c r="C6" i="9"/>
  <c r="AN5" i="7"/>
  <c r="C8" i="9"/>
  <c r="AN7" i="7"/>
  <c r="A33" i="9"/>
  <c r="AJ32" i="7"/>
  <c r="A41" i="9"/>
  <c r="AJ40" i="7"/>
  <c r="D47" i="7"/>
  <c r="C44" i="9"/>
  <c r="F47" i="7"/>
  <c r="C45" i="9"/>
  <c r="A36" i="9"/>
  <c r="F46" i="7"/>
  <c r="A45" i="9"/>
  <c r="C36" i="9"/>
  <c r="D46" i="7"/>
  <c r="A44" i="9"/>
  <c r="A37" i="9"/>
  <c r="AZ14" i="7"/>
  <c r="AZ27" i="7"/>
  <c r="AT6" i="7"/>
  <c r="AZ19" i="7"/>
  <c r="AZ20" i="7"/>
  <c r="AU12" i="7"/>
  <c r="AT12" i="7"/>
  <c r="AZ12" i="7"/>
  <c r="AU14" i="7"/>
  <c r="AT14" i="7"/>
  <c r="AT11" i="7"/>
  <c r="AU11" i="7"/>
  <c r="AZ11" i="7"/>
  <c r="AZ3" i="7"/>
  <c r="AZ21" i="7"/>
  <c r="AZ4" i="7"/>
  <c r="AZ6" i="7"/>
  <c r="AZ13" i="7"/>
  <c r="AU13" i="7"/>
  <c r="AT13" i="7"/>
  <c r="AZ5" i="7"/>
  <c r="AZ22" i="7"/>
  <c r="AT29" i="7"/>
  <c r="C46" i="9" l="1"/>
  <c r="AN45" i="7"/>
  <c r="A39" i="9"/>
  <c r="AJ38" i="7"/>
  <c r="C39" i="9"/>
  <c r="AN38" i="7"/>
  <c r="A46" i="9"/>
  <c r="AJ45" i="7"/>
  <c r="C47" i="9"/>
  <c r="AN46" i="7"/>
  <c r="C38" i="9"/>
  <c r="AN37" i="7"/>
  <c r="A47" i="9"/>
  <c r="AJ46" i="7"/>
  <c r="AT37" i="7"/>
  <c r="AU35" i="7"/>
  <c r="AU38" i="7"/>
  <c r="AZ35" i="7"/>
  <c r="AT36" i="7"/>
  <c r="AT35" i="7"/>
  <c r="AZ38" i="7"/>
  <c r="AZ36" i="7"/>
  <c r="AU36" i="7"/>
  <c r="AT38" i="7"/>
  <c r="AZ37" i="7"/>
  <c r="AT45" i="7"/>
  <c r="AT46" i="7"/>
  <c r="AT44" i="7"/>
  <c r="AU37" i="7"/>
  <c r="AU45" i="7"/>
  <c r="AU44" i="7"/>
  <c r="AZ43" i="7"/>
  <c r="AU43" i="7"/>
  <c r="AT43" i="7"/>
  <c r="AZ46" i="7"/>
  <c r="AU46" i="7"/>
  <c r="AZ45" i="7"/>
  <c r="AZ44" i="7"/>
  <c r="AZ29" i="7"/>
  <c r="AU30" i="7"/>
  <c r="AT30" i="7"/>
  <c r="AU28" i="7"/>
  <c r="AU27" i="7"/>
  <c r="AT28" i="7"/>
  <c r="AT27" i="7"/>
  <c r="AZ30" i="7"/>
  <c r="AU29" i="7"/>
  <c r="AV29" i="7" s="1"/>
  <c r="AZ28" i="7"/>
  <c r="AT22" i="7"/>
  <c r="AU22" i="7"/>
  <c r="AT21" i="7"/>
  <c r="AU19" i="7"/>
  <c r="AT19" i="7"/>
  <c r="AU21" i="7"/>
  <c r="AT5" i="7"/>
  <c r="AU5" i="7"/>
  <c r="AT3" i="7"/>
  <c r="AT4" i="7"/>
  <c r="AU3" i="7"/>
  <c r="AU6" i="7"/>
  <c r="AV6" i="7" s="1"/>
  <c r="AU4" i="7"/>
  <c r="AT20" i="7"/>
  <c r="AU20" i="7"/>
  <c r="AV12" i="7"/>
  <c r="AV13" i="7"/>
  <c r="AV14" i="7"/>
  <c r="AV11" i="7"/>
  <c r="AW43" i="7" l="1"/>
  <c r="AX37" i="7"/>
  <c r="AX14" i="7"/>
  <c r="AW21" i="7"/>
  <c r="AX6" i="7"/>
  <c r="AX5" i="7"/>
  <c r="AX22" i="7"/>
  <c r="AW22" i="7"/>
  <c r="AX38" i="7"/>
  <c r="AX21" i="7"/>
  <c r="AX44" i="7"/>
  <c r="AW37" i="7"/>
  <c r="AR19" i="7"/>
  <c r="AW14" i="7"/>
  <c r="AX27" i="7"/>
  <c r="AW6" i="7"/>
  <c r="AR38" i="7"/>
  <c r="AW13" i="7"/>
  <c r="AR14" i="7"/>
  <c r="AW45" i="7"/>
  <c r="AW35" i="7"/>
  <c r="AR45" i="7"/>
  <c r="AW46" i="7"/>
  <c r="AX19" i="7"/>
  <c r="AR12" i="7"/>
  <c r="AW3" i="7"/>
  <c r="AW27" i="7"/>
  <c r="AR6" i="7"/>
  <c r="AR22" i="7"/>
  <c r="AX43" i="7"/>
  <c r="AW19" i="7"/>
  <c r="AW12" i="7"/>
  <c r="AX3" i="7"/>
  <c r="AR27" i="7"/>
  <c r="AX13" i="7"/>
  <c r="AW38" i="7"/>
  <c r="AR29" i="7"/>
  <c r="AX29" i="7"/>
  <c r="AR11" i="7"/>
  <c r="AW36" i="7"/>
  <c r="AR43" i="7"/>
  <c r="AR3" i="7"/>
  <c r="AR4" i="7"/>
  <c r="AX28" i="7"/>
  <c r="AR13" i="7"/>
  <c r="AR30" i="7"/>
  <c r="AX45" i="7"/>
  <c r="AW5" i="7"/>
  <c r="AR44" i="7"/>
  <c r="AX36" i="7"/>
  <c r="AR20" i="7"/>
  <c r="AX12" i="7"/>
  <c r="AW11" i="7"/>
  <c r="AW28" i="7"/>
  <c r="AR5" i="7"/>
  <c r="AW30" i="7"/>
  <c r="AW20" i="7"/>
  <c r="AX20" i="7"/>
  <c r="AX11" i="7"/>
  <c r="AR21" i="7"/>
  <c r="AW4" i="7"/>
  <c r="AR28" i="7"/>
  <c r="AX30" i="7"/>
  <c r="AW29" i="7"/>
  <c r="AX46" i="7"/>
  <c r="AX4" i="7"/>
  <c r="AR37" i="7"/>
  <c r="AR46" i="7"/>
  <c r="AX35" i="7"/>
  <c r="AW44" i="7"/>
  <c r="AS44" i="7" s="1"/>
  <c r="AR36" i="7"/>
  <c r="AR35" i="7"/>
  <c r="AV38" i="7"/>
  <c r="AV35" i="7"/>
  <c r="AV37" i="7"/>
  <c r="AV36" i="7"/>
  <c r="AV46" i="7"/>
  <c r="AV45" i="7"/>
  <c r="AV44" i="7"/>
  <c r="AV43" i="7"/>
  <c r="AV30" i="7"/>
  <c r="AV28" i="7"/>
  <c r="AV27" i="7"/>
  <c r="AV21" i="7"/>
  <c r="AV19" i="7"/>
  <c r="AV22" i="7"/>
  <c r="AV5" i="7"/>
  <c r="AV3" i="7"/>
  <c r="AV4" i="7"/>
  <c r="AV20" i="7"/>
  <c r="AS43" i="7" l="1"/>
  <c r="AY21" i="7"/>
  <c r="AS5" i="7"/>
  <c r="AS6" i="7"/>
  <c r="AY43" i="7"/>
  <c r="AS29" i="7"/>
  <c r="AY14" i="7"/>
  <c r="AY37" i="7"/>
  <c r="AY28" i="7"/>
  <c r="AY13" i="7"/>
  <c r="AS27" i="7"/>
  <c r="AY27" i="7"/>
  <c r="AY22" i="7"/>
  <c r="AS28" i="7"/>
  <c r="AS14" i="7"/>
  <c r="AY5" i="7"/>
  <c r="AS19" i="7"/>
  <c r="AY6" i="7"/>
  <c r="AY44" i="7"/>
  <c r="AS20" i="7"/>
  <c r="AY36" i="7"/>
  <c r="AY12" i="7"/>
  <c r="AY38" i="7"/>
  <c r="AS22" i="7"/>
  <c r="AY35" i="7"/>
  <c r="AS30" i="7"/>
  <c r="AS36" i="7"/>
  <c r="AS12" i="7"/>
  <c r="AY11" i="7"/>
  <c r="AS46" i="7"/>
  <c r="AY30" i="7"/>
  <c r="AY45" i="7"/>
  <c r="AS4" i="7"/>
  <c r="AS11" i="7"/>
  <c r="AY29" i="7"/>
  <c r="AS35" i="7"/>
  <c r="AY19" i="7"/>
  <c r="AY46" i="7"/>
  <c r="AS38" i="7"/>
  <c r="AS45" i="7"/>
  <c r="AS37" i="7"/>
  <c r="AS21" i="7"/>
  <c r="AY20" i="7"/>
  <c r="AY4" i="7"/>
  <c r="AY3" i="7"/>
  <c r="AS3" i="7"/>
  <c r="AS13" i="7"/>
  <c r="B48" i="2"/>
  <c r="B49" i="2"/>
  <c r="B47" i="2"/>
  <c r="B46" i="2"/>
  <c r="F46" i="2"/>
  <c r="C48" i="2"/>
  <c r="E49" i="2"/>
  <c r="D48" i="2"/>
  <c r="F48" i="2"/>
  <c r="F49" i="2"/>
  <c r="E48" i="2"/>
  <c r="G49" i="2"/>
  <c r="D46" i="2"/>
  <c r="E46" i="2"/>
  <c r="D47" i="2"/>
  <c r="G47" i="2"/>
  <c r="C49" i="2"/>
  <c r="F47" i="2"/>
  <c r="G48" i="2"/>
  <c r="E47" i="2"/>
  <c r="G46" i="2"/>
  <c r="D49" i="2"/>
  <c r="BA44" i="7" l="1"/>
  <c r="BA28" i="7"/>
  <c r="BA5" i="7"/>
  <c r="BA6" i="7"/>
  <c r="BA35" i="7"/>
  <c r="BA3" i="7"/>
  <c r="BA22" i="7"/>
  <c r="BA36" i="7"/>
  <c r="BA19" i="7"/>
  <c r="BA38" i="7"/>
  <c r="BA37" i="7"/>
  <c r="BA4" i="7"/>
  <c r="BA29" i="7"/>
  <c r="BA46" i="7"/>
  <c r="BA21" i="7"/>
  <c r="BA27" i="7"/>
  <c r="BA30" i="7"/>
  <c r="BA43" i="7"/>
  <c r="BA13" i="7"/>
  <c r="BA45" i="7"/>
  <c r="BA20" i="7"/>
  <c r="BA12" i="7"/>
  <c r="BA14" i="7"/>
  <c r="BA11" i="7"/>
  <c r="C46" i="2"/>
  <c r="C47" i="2"/>
  <c r="AP3" i="7" l="1"/>
  <c r="AP37" i="7"/>
  <c r="AP6" i="7"/>
  <c r="AP5" i="7"/>
  <c r="AP4" i="7"/>
  <c r="AP28" i="7"/>
  <c r="AP38" i="7"/>
  <c r="AP36" i="7"/>
  <c r="AP20" i="7"/>
  <c r="AP35" i="7"/>
  <c r="AP43" i="7"/>
  <c r="AA46" i="7" s="1"/>
  <c r="B36" i="2" s="1"/>
  <c r="AP22" i="7"/>
  <c r="AP19" i="7"/>
  <c r="AP13" i="7"/>
  <c r="AP21" i="7"/>
  <c r="AP45" i="7"/>
  <c r="AP27" i="7"/>
  <c r="AP30" i="7"/>
  <c r="AP14" i="7"/>
  <c r="AP46" i="7"/>
  <c r="AP11" i="7"/>
  <c r="AP29" i="7"/>
  <c r="AP12" i="7"/>
  <c r="AP44" i="7"/>
  <c r="AW53" i="7" l="1"/>
  <c r="AA28" i="7"/>
  <c r="B22" i="2" s="1"/>
  <c r="AD4" i="7"/>
  <c r="E4" i="2" s="1"/>
  <c r="AD36" i="7"/>
  <c r="E28" i="2" s="1"/>
  <c r="AV53" i="7"/>
  <c r="AF19" i="7"/>
  <c r="G15" i="2" s="1"/>
  <c r="AC21" i="7"/>
  <c r="D17" i="2" s="1"/>
  <c r="AB4" i="7"/>
  <c r="C4" i="2" s="1"/>
  <c r="AB21" i="7"/>
  <c r="C17" i="2" s="1"/>
  <c r="AE21" i="7"/>
  <c r="F17" i="2" s="1"/>
  <c r="AF4" i="7"/>
  <c r="G4" i="2" s="1"/>
  <c r="AF46" i="7"/>
  <c r="G36" i="2" s="1"/>
  <c r="AF22" i="7"/>
  <c r="G18" i="2" s="1"/>
  <c r="AD3" i="7"/>
  <c r="E3" i="2" s="1"/>
  <c r="AD6" i="7"/>
  <c r="E6" i="2" s="1"/>
  <c r="AD22" i="7"/>
  <c r="E18" i="2" s="1"/>
  <c r="AE4" i="7"/>
  <c r="F4" i="2" s="1"/>
  <c r="AE19" i="7"/>
  <c r="F15" i="2" s="1"/>
  <c r="AG46" i="7"/>
  <c r="AG22" i="7"/>
  <c r="AG4" i="7"/>
  <c r="AC22" i="7"/>
  <c r="D18" i="2" s="1"/>
  <c r="AC28" i="7"/>
  <c r="D22" i="2" s="1"/>
  <c r="BA51" i="7"/>
  <c r="AB20" i="7"/>
  <c r="C16" i="2" s="1"/>
  <c r="AA6" i="7"/>
  <c r="B6" i="2" s="1"/>
  <c r="AB3" i="7"/>
  <c r="C3" i="2" s="1"/>
  <c r="AB6" i="7"/>
  <c r="C6" i="2" s="1"/>
  <c r="AY55" i="7"/>
  <c r="AC35" i="7"/>
  <c r="D27" i="2" s="1"/>
  <c r="AE29" i="7"/>
  <c r="F23" i="2" s="1"/>
  <c r="AG6" i="7"/>
  <c r="AA27" i="7"/>
  <c r="B21" i="2" s="1"/>
  <c r="AB29" i="7"/>
  <c r="C23" i="2" s="1"/>
  <c r="AC6" i="7"/>
  <c r="D6" i="2" s="1"/>
  <c r="AB22" i="7"/>
  <c r="C18" i="2" s="1"/>
  <c r="AX63" i="7"/>
  <c r="AZ76" i="7" s="1"/>
  <c r="AE3" i="7"/>
  <c r="F3" i="2" s="1"/>
  <c r="AE27" i="7"/>
  <c r="F21" i="2" s="1"/>
  <c r="AW51" i="7"/>
  <c r="AF38" i="7"/>
  <c r="G30" i="2" s="1"/>
  <c r="AA21" i="7"/>
  <c r="B17" i="2" s="1"/>
  <c r="AF21" i="7"/>
  <c r="G17" i="2" s="1"/>
  <c r="BA63" i="7"/>
  <c r="AX72" i="7" s="1"/>
  <c r="AU54" i="7"/>
  <c r="AZ51" i="7"/>
  <c r="AF35" i="7"/>
  <c r="G27" i="2" s="1"/>
  <c r="AC36" i="7"/>
  <c r="D28" i="2" s="1"/>
  <c r="AD46" i="7"/>
  <c r="E36" i="2" s="1"/>
  <c r="AB19" i="7"/>
  <c r="C15" i="2" s="1"/>
  <c r="AE22" i="7"/>
  <c r="F18" i="2" s="1"/>
  <c r="AC5" i="7"/>
  <c r="D5" i="2" s="1"/>
  <c r="AB5" i="7"/>
  <c r="C5" i="2" s="1"/>
  <c r="AE6" i="7"/>
  <c r="F6" i="2" s="1"/>
  <c r="AD30" i="7"/>
  <c r="E24" i="2" s="1"/>
  <c r="AA37" i="7"/>
  <c r="B29" i="2" s="1"/>
  <c r="AB36" i="7"/>
  <c r="C28" i="2" s="1"/>
  <c r="AF30" i="7"/>
  <c r="G24" i="2" s="1"/>
  <c r="AF29" i="7"/>
  <c r="G23" i="2" s="1"/>
  <c r="AZ63" i="7"/>
  <c r="AX75" i="7" s="1"/>
  <c r="AR51" i="7"/>
  <c r="AE20" i="7"/>
  <c r="F16" i="2" s="1"/>
  <c r="AA4" i="7"/>
  <c r="B4" i="2" s="1"/>
  <c r="AA3" i="7"/>
  <c r="B3" i="2" s="1"/>
  <c r="AC4" i="7"/>
  <c r="D4" i="2" s="1"/>
  <c r="AA30" i="7"/>
  <c r="B24" i="2" s="1"/>
  <c r="AC30" i="7"/>
  <c r="D24" i="2" s="1"/>
  <c r="AG35" i="7"/>
  <c r="AU51" i="7"/>
  <c r="AF20" i="7"/>
  <c r="G16" i="2" s="1"/>
  <c r="AY63" i="7"/>
  <c r="AY76" i="7" s="1"/>
  <c r="AC29" i="7"/>
  <c r="D23" i="2" s="1"/>
  <c r="AG43" i="7"/>
  <c r="AG37" i="7"/>
  <c r="AC46" i="7"/>
  <c r="D36" i="2" s="1"/>
  <c r="AT51" i="7"/>
  <c r="BA56" i="7"/>
  <c r="AG38" i="7"/>
  <c r="BA53" i="7"/>
  <c r="AD5" i="7"/>
  <c r="E5" i="2" s="1"/>
  <c r="AE28" i="7"/>
  <c r="F22" i="2" s="1"/>
  <c r="AG30" i="7"/>
  <c r="AD35" i="7"/>
  <c r="E27" i="2" s="1"/>
  <c r="AE36" i="7"/>
  <c r="F28" i="2" s="1"/>
  <c r="AT53" i="7"/>
  <c r="AV51" i="7"/>
  <c r="AT54" i="7"/>
  <c r="AA19" i="7"/>
  <c r="B15" i="2" s="1"/>
  <c r="AG19" i="7"/>
  <c r="AG21" i="7"/>
  <c r="AG20" i="7"/>
  <c r="AF5" i="7"/>
  <c r="G5" i="2" s="1"/>
  <c r="AF28" i="7"/>
  <c r="G22" i="2" s="1"/>
  <c r="AB27" i="7"/>
  <c r="C21" i="2" s="1"/>
  <c r="AC37" i="7"/>
  <c r="D29" i="2" s="1"/>
  <c r="AG36" i="7"/>
  <c r="AQ53" i="7"/>
  <c r="AQ51" i="7"/>
  <c r="AB46" i="7"/>
  <c r="C36" i="2" s="1"/>
  <c r="AE37" i="7"/>
  <c r="F29" i="2" s="1"/>
  <c r="AB35" i="7"/>
  <c r="AC38" i="7"/>
  <c r="D30" i="2" s="1"/>
  <c r="AU53" i="7"/>
  <c r="AW54" i="7"/>
  <c r="AC20" i="7"/>
  <c r="D16" i="2" s="1"/>
  <c r="AD21" i="7"/>
  <c r="E17" i="2" s="1"/>
  <c r="AA5" i="7"/>
  <c r="B5" i="2" s="1"/>
  <c r="AG3" i="7"/>
  <c r="AA22" i="7"/>
  <c r="B18" i="2" s="1"/>
  <c r="AE5" i="7"/>
  <c r="F5" i="2" s="1"/>
  <c r="AF3" i="7"/>
  <c r="G3" i="2" s="1"/>
  <c r="AE30" i="7"/>
  <c r="F24" i="2" s="1"/>
  <c r="AG29" i="7"/>
  <c r="AD27" i="7"/>
  <c r="E21" i="2" s="1"/>
  <c r="AA35" i="7"/>
  <c r="B27" i="2" s="1"/>
  <c r="AD37" i="7"/>
  <c r="E29" i="2" s="1"/>
  <c r="AB38" i="7"/>
  <c r="C30" i="2" s="1"/>
  <c r="AA38" i="7"/>
  <c r="B30" i="2" s="1"/>
  <c r="AR53" i="7"/>
  <c r="AS51" i="7"/>
  <c r="BA54" i="7"/>
  <c r="AE46" i="7"/>
  <c r="F36" i="2" s="1"/>
  <c r="AQ55" i="7"/>
  <c r="AC44" i="7"/>
  <c r="D34" i="2" s="1"/>
  <c r="BA55" i="7"/>
  <c r="AE35" i="7"/>
  <c r="F27" i="2" s="1"/>
  <c r="AX53" i="7"/>
  <c r="AX51" i="7"/>
  <c r="AA20" i="7"/>
  <c r="B16" i="2" s="1"/>
  <c r="AD20" i="7"/>
  <c r="E16" i="2" s="1"/>
  <c r="AD19" i="7"/>
  <c r="E15" i="2" s="1"/>
  <c r="AC19" i="7"/>
  <c r="D15" i="2" s="1"/>
  <c r="AG5" i="7"/>
  <c r="AF6" i="7"/>
  <c r="G6" i="2" s="1"/>
  <c r="AC3" i="7"/>
  <c r="D3" i="2" s="1"/>
  <c r="AV63" i="7"/>
  <c r="BA71" i="7" s="1"/>
  <c r="AB28" i="7"/>
  <c r="C22" i="2" s="1"/>
  <c r="AA29" i="7"/>
  <c r="B23" i="2" s="1"/>
  <c r="AG27" i="7"/>
  <c r="AB37" i="7"/>
  <c r="C29" i="2" s="1"/>
  <c r="AE43" i="7"/>
  <c r="F33" i="2" s="1"/>
  <c r="AZ53" i="7"/>
  <c r="AY51" i="7"/>
  <c r="AW55" i="7"/>
  <c r="AX55" i="7"/>
  <c r="AD29" i="7"/>
  <c r="E23" i="2" s="1"/>
  <c r="AF37" i="7"/>
  <c r="G29" i="2" s="1"/>
  <c r="AE38" i="7"/>
  <c r="F30" i="2" s="1"/>
  <c r="AV54" i="7"/>
  <c r="AT55" i="7"/>
  <c r="AR55" i="7"/>
  <c r="AA36" i="7"/>
  <c r="B28" i="2" s="1"/>
  <c r="AY54" i="7"/>
  <c r="AU55" i="7"/>
  <c r="AZ55" i="7"/>
  <c r="AR54" i="7"/>
  <c r="AV55" i="7"/>
  <c r="AD38" i="7"/>
  <c r="E30" i="2" s="1"/>
  <c r="AF36" i="7"/>
  <c r="G28" i="2" s="1"/>
  <c r="AZ54" i="7"/>
  <c r="AS55" i="7"/>
  <c r="AD28" i="7"/>
  <c r="E22" i="2" s="1"/>
  <c r="AY53" i="7"/>
  <c r="AS54" i="7"/>
  <c r="AB30" i="7"/>
  <c r="C24" i="2" s="1"/>
  <c r="AG28" i="7"/>
  <c r="AF27" i="7"/>
  <c r="G21" i="2" s="1"/>
  <c r="AC27" i="7"/>
  <c r="D21" i="2" s="1"/>
  <c r="AS53" i="7"/>
  <c r="AQ54" i="7"/>
  <c r="AA45" i="7"/>
  <c r="B35" i="2" s="1"/>
  <c r="AB44" i="7"/>
  <c r="C34" i="2" s="1"/>
  <c r="AU56" i="7"/>
  <c r="AE45" i="7"/>
  <c r="F35" i="2" s="1"/>
  <c r="AC43" i="7"/>
  <c r="D33" i="2" s="1"/>
  <c r="AQ56" i="7"/>
  <c r="AV56" i="7"/>
  <c r="AF45" i="7"/>
  <c r="G35" i="2" s="1"/>
  <c r="AY56" i="7"/>
  <c r="AX56" i="7"/>
  <c r="AB14" i="7"/>
  <c r="C12" i="2" s="1"/>
  <c r="AC13" i="7"/>
  <c r="D11" i="2" s="1"/>
  <c r="AG11" i="7"/>
  <c r="AY52" i="7"/>
  <c r="AD12" i="7"/>
  <c r="E10" i="2" s="1"/>
  <c r="AC14" i="7"/>
  <c r="D12" i="2" s="1"/>
  <c r="AG12" i="7"/>
  <c r="AG14" i="7"/>
  <c r="AW52" i="7"/>
  <c r="AW63" i="7"/>
  <c r="AE13" i="7"/>
  <c r="F11" i="2" s="1"/>
  <c r="AB11" i="7"/>
  <c r="AU52" i="7"/>
  <c r="AA11" i="7"/>
  <c r="B9" i="2" s="1"/>
  <c r="AE11" i="7"/>
  <c r="F9" i="2" s="1"/>
  <c r="AT52" i="7"/>
  <c r="AD13" i="7"/>
  <c r="E11" i="2" s="1"/>
  <c r="AZ52" i="7"/>
  <c r="AF11" i="7"/>
  <c r="G9" i="2" s="1"/>
  <c r="AR52" i="7"/>
  <c r="AQ52" i="7"/>
  <c r="AG13" i="7"/>
  <c r="AE14" i="7"/>
  <c r="F12" i="2" s="1"/>
  <c r="AE12" i="7"/>
  <c r="F10" i="2" s="1"/>
  <c r="AF13" i="7"/>
  <c r="G11" i="2" s="1"/>
  <c r="AS52" i="7"/>
  <c r="AA14" i="7"/>
  <c r="B12" i="2" s="1"/>
  <c r="AD11" i="7"/>
  <c r="E9" i="2" s="1"/>
  <c r="AV52" i="7"/>
  <c r="AF12" i="7"/>
  <c r="G10" i="2" s="1"/>
  <c r="AA13" i="7"/>
  <c r="B11" i="2" s="1"/>
  <c r="AX52" i="7"/>
  <c r="AB13" i="7"/>
  <c r="C11" i="2" s="1"/>
  <c r="AB12" i="7"/>
  <c r="AF14" i="7"/>
  <c r="G12" i="2" s="1"/>
  <c r="BA52" i="7"/>
  <c r="AD14" i="7"/>
  <c r="E12" i="2" s="1"/>
  <c r="AA12" i="7"/>
  <c r="B10" i="2" s="1"/>
  <c r="AC11" i="7"/>
  <c r="D9" i="2" s="1"/>
  <c r="AC12" i="7"/>
  <c r="D10" i="2" s="1"/>
  <c r="AD45" i="7"/>
  <c r="E35" i="2" s="1"/>
  <c r="AD43" i="7"/>
  <c r="E33" i="2" s="1"/>
  <c r="AX54" i="7"/>
  <c r="AR56" i="7"/>
  <c r="AW56" i="7"/>
  <c r="AB45" i="7"/>
  <c r="C35" i="2" s="1"/>
  <c r="AE44" i="7"/>
  <c r="F34" i="2" s="1"/>
  <c r="AZ56" i="7"/>
  <c r="AT56" i="7"/>
  <c r="AA43" i="7"/>
  <c r="B33" i="2" s="1"/>
  <c r="AC45" i="7"/>
  <c r="D35" i="2" s="1"/>
  <c r="AF43" i="7"/>
  <c r="G33" i="2" s="1"/>
  <c r="AB43" i="7"/>
  <c r="C33" i="2" s="1"/>
  <c r="AD44" i="7"/>
  <c r="E34" i="2" s="1"/>
  <c r="AS56" i="7"/>
  <c r="AA44" i="7"/>
  <c r="B34" i="2" s="1"/>
  <c r="AG45" i="7"/>
  <c r="AG44" i="7"/>
  <c r="AF44" i="7"/>
  <c r="G34" i="2" s="1"/>
  <c r="AZ71" i="7"/>
  <c r="B42" i="2"/>
  <c r="F42" i="2"/>
  <c r="F40" i="2"/>
  <c r="E40" i="2"/>
  <c r="G40" i="2"/>
  <c r="B40" i="2"/>
  <c r="G41" i="2"/>
  <c r="C40" i="2"/>
  <c r="D40" i="2"/>
  <c r="F43" i="2"/>
  <c r="E41" i="2"/>
  <c r="D43" i="2"/>
  <c r="C41" i="2"/>
  <c r="D42" i="2"/>
  <c r="G42" i="2"/>
  <c r="B43" i="2"/>
  <c r="D41" i="2"/>
  <c r="C43" i="2"/>
  <c r="F41" i="2"/>
  <c r="B41" i="2"/>
  <c r="E43" i="2"/>
  <c r="C42" i="2"/>
  <c r="E42" i="2"/>
  <c r="G43" i="2"/>
  <c r="BA65" i="7" l="1"/>
  <c r="BA66" i="7"/>
  <c r="BA75" i="7"/>
  <c r="AZ77" i="7"/>
  <c r="F53" i="7"/>
  <c r="D93" i="9" s="1"/>
  <c r="D52" i="7"/>
  <c r="F65" i="7" s="1"/>
  <c r="C66" i="9" s="1"/>
  <c r="D59" i="7"/>
  <c r="A60" i="9" s="1"/>
  <c r="AZ72" i="7"/>
  <c r="AZ73" i="7"/>
  <c r="BA79" i="7"/>
  <c r="AX77" i="7"/>
  <c r="D53" i="7"/>
  <c r="F64" i="7" s="1"/>
  <c r="D104" i="9" s="1"/>
  <c r="AX70" i="7"/>
  <c r="AY77" i="7"/>
  <c r="AX76" i="7"/>
  <c r="AX71" i="7"/>
  <c r="AY74" i="7"/>
  <c r="AY78" i="7"/>
  <c r="AY69" i="7"/>
  <c r="AX79" i="7"/>
  <c r="AY70" i="7"/>
  <c r="AY67" i="7"/>
  <c r="BA67" i="7"/>
  <c r="D56" i="7"/>
  <c r="F63" i="7" s="1"/>
  <c r="C64" i="9" s="1"/>
  <c r="AY73" i="7"/>
  <c r="AY66" i="7"/>
  <c r="AY79" i="7"/>
  <c r="F56" i="7"/>
  <c r="C57" i="9" s="1"/>
  <c r="AX78" i="7"/>
  <c r="AY68" i="7"/>
  <c r="AX74" i="7"/>
  <c r="AX73" i="7"/>
  <c r="AY71" i="7"/>
  <c r="AZ79" i="7"/>
  <c r="BA73" i="7"/>
  <c r="AZ74" i="7"/>
  <c r="AZ78" i="7"/>
  <c r="AX69" i="7"/>
  <c r="AY75" i="7"/>
  <c r="AY72" i="7"/>
  <c r="AY65" i="7"/>
  <c r="AX68" i="7"/>
  <c r="BA72" i="7"/>
  <c r="AZ68" i="7"/>
  <c r="AX67" i="7"/>
  <c r="BA74" i="7"/>
  <c r="AX66" i="7"/>
  <c r="D58" i="7"/>
  <c r="D89" i="9" s="1"/>
  <c r="AZ69" i="7"/>
  <c r="D54" i="7"/>
  <c r="A55" i="9" s="1"/>
  <c r="BA70" i="7"/>
  <c r="AX65" i="7"/>
  <c r="C27" i="2"/>
  <c r="BB56" i="7"/>
  <c r="BA62" i="7" s="1"/>
  <c r="D57" i="7"/>
  <c r="A58" i="9" s="1"/>
  <c r="BB51" i="7"/>
  <c r="AV62" i="7" s="1"/>
  <c r="BB53" i="7"/>
  <c r="AX62" i="7" s="1"/>
  <c r="BB54" i="7"/>
  <c r="AY62" i="7" s="1"/>
  <c r="D55" i="7"/>
  <c r="C9" i="2"/>
  <c r="BB55" i="7"/>
  <c r="AZ62" i="7" s="1"/>
  <c r="BB52" i="7"/>
  <c r="AW62" i="7" s="1"/>
  <c r="F58" i="7"/>
  <c r="F66" i="7" s="1"/>
  <c r="C10" i="2"/>
  <c r="F52" i="7"/>
  <c r="BA77" i="7"/>
  <c r="BA69" i="7"/>
  <c r="AZ65" i="7"/>
  <c r="BA76" i="7"/>
  <c r="AZ70" i="7"/>
  <c r="BA68" i="7"/>
  <c r="AZ75" i="7"/>
  <c r="AZ66" i="7"/>
  <c r="BA78" i="7"/>
  <c r="AZ67" i="7"/>
  <c r="C54" i="9" l="1"/>
  <c r="D84" i="9"/>
  <c r="D66" i="7"/>
  <c r="D102" i="9" s="1"/>
  <c r="D105" i="9"/>
  <c r="A53" i="9"/>
  <c r="D82" i="9"/>
  <c r="D83" i="9"/>
  <c r="C65" i="9"/>
  <c r="D70" i="7"/>
  <c r="A71" i="9" s="1"/>
  <c r="A54" i="9"/>
  <c r="D85" i="9"/>
  <c r="D96" i="9"/>
  <c r="A57" i="9"/>
  <c r="D101" i="9"/>
  <c r="D87" i="9"/>
  <c r="A59" i="9"/>
  <c r="D63" i="7"/>
  <c r="F70" i="7" s="1"/>
  <c r="AV78" i="7"/>
  <c r="D91" i="9"/>
  <c r="C59" i="9"/>
  <c r="D88" i="9"/>
  <c r="AV75" i="7"/>
  <c r="AV79" i="7"/>
  <c r="AP56" i="7"/>
  <c r="AP54" i="7"/>
  <c r="AV76" i="7"/>
  <c r="AP55" i="7"/>
  <c r="AV77" i="7"/>
  <c r="AP52" i="7"/>
  <c r="AP53" i="7"/>
  <c r="AP51" i="7"/>
  <c r="C53" i="9"/>
  <c r="D86" i="9"/>
  <c r="D64" i="7"/>
  <c r="A56" i="9"/>
  <c r="D81" i="9"/>
  <c r="C67" i="9"/>
  <c r="D71" i="7"/>
  <c r="D106" i="9"/>
  <c r="AV66" i="7"/>
  <c r="AV68" i="7"/>
  <c r="AV69" i="7"/>
  <c r="AV73" i="7"/>
  <c r="AV71" i="7"/>
  <c r="AV65" i="7"/>
  <c r="AV67" i="7"/>
  <c r="AV74" i="7"/>
  <c r="AV70" i="7"/>
  <c r="AV72" i="7"/>
  <c r="A67" i="9" l="1"/>
  <c r="D109" i="9"/>
  <c r="D99" i="9"/>
  <c r="A64" i="9"/>
  <c r="D100" i="9"/>
  <c r="A65" i="9"/>
  <c r="A72" i="9"/>
  <c r="F75" i="7"/>
  <c r="D111" i="9"/>
  <c r="C71" i="9"/>
  <c r="D75" i="7"/>
  <c r="D110" i="9"/>
  <c r="AU78" i="7"/>
  <c r="AU67" i="7"/>
  <c r="AU65" i="7"/>
  <c r="AU79" i="7"/>
  <c r="BD67" i="7"/>
  <c r="F57" i="7" s="1"/>
  <c r="BD66" i="7"/>
  <c r="F59" i="7" s="1"/>
  <c r="BD65" i="7"/>
  <c r="F54" i="7" s="1"/>
  <c r="D65" i="7" s="1"/>
  <c r="AU77" i="7"/>
  <c r="AU76" i="7"/>
  <c r="BD64" i="7"/>
  <c r="F55" i="7" s="1"/>
  <c r="AU73" i="7"/>
  <c r="AU69" i="7"/>
  <c r="AU71" i="7"/>
  <c r="AU72" i="7"/>
  <c r="AU68" i="7"/>
  <c r="AU70" i="7"/>
  <c r="AU66" i="7"/>
  <c r="AU74" i="7"/>
  <c r="AU75" i="7"/>
  <c r="A66" i="9" l="1"/>
  <c r="F71" i="7"/>
  <c r="D103" i="9"/>
  <c r="A76" i="9"/>
  <c r="F78" i="7"/>
  <c r="D119" i="9" s="1"/>
  <c r="D115" i="9"/>
  <c r="C76" i="9"/>
  <c r="D116" i="9"/>
  <c r="D94" i="9"/>
  <c r="C55" i="9"/>
  <c r="C56" i="9"/>
  <c r="D95" i="9"/>
  <c r="C60" i="9"/>
  <c r="D92" i="9"/>
  <c r="C58" i="9"/>
  <c r="D90" i="9"/>
  <c r="D112" i="9" l="1"/>
  <c r="C72" i="9"/>
</calcChain>
</file>

<file path=xl/sharedStrings.xml><?xml version="1.0" encoding="utf-8"?>
<sst xmlns="http://schemas.openxmlformats.org/spreadsheetml/2006/main" count="958" uniqueCount="527">
  <si>
    <t xml:space="preserve"> </t>
  </si>
  <si>
    <t>Groep A</t>
  </si>
  <si>
    <t>Wedstrijd</t>
  </si>
  <si>
    <t>Uitslag</t>
  </si>
  <si>
    <t>Toto</t>
  </si>
  <si>
    <t>-</t>
  </si>
  <si>
    <t>Groep B</t>
  </si>
  <si>
    <t>Groep C</t>
  </si>
  <si>
    <t>Groep D</t>
  </si>
  <si>
    <t>Groep E</t>
  </si>
  <si>
    <t>Groep F</t>
  </si>
  <si>
    <t>Groep G</t>
  </si>
  <si>
    <t>Groep H</t>
  </si>
  <si>
    <t>Achtste finales</t>
  </si>
  <si>
    <t>Kwartfinales</t>
  </si>
  <si>
    <t>Halve finales</t>
  </si>
  <si>
    <t>3e plaats</t>
  </si>
  <si>
    <t>Finale</t>
  </si>
  <si>
    <t>wedstrijden</t>
  </si>
  <si>
    <t>punten</t>
  </si>
  <si>
    <t>voor</t>
  </si>
  <si>
    <t>tegen</t>
  </si>
  <si>
    <t>doelsaldo</t>
  </si>
  <si>
    <t>Juiste aantal doelpunten thuis spelend team (juiste toto)</t>
  </si>
  <si>
    <t>Juiste aantal doelpunten thuis spelend team (onjuiste toto)</t>
  </si>
  <si>
    <t>Juiste aantal doelpunten uit spelend team (juiste toto)</t>
  </si>
  <si>
    <t>Juiste aantal doelpunten uit spelend team (onjuiste toto)</t>
  </si>
  <si>
    <t>Juiste "toto"-uitslag</t>
  </si>
  <si>
    <t>Team op juiste plaats in achtste finale</t>
  </si>
  <si>
    <t>Team op onjuiste plaats in achtste finale</t>
  </si>
  <si>
    <t>Juiste team in kwartfinale, op welke plaats dan ook</t>
  </si>
  <si>
    <t>Juiste team in halve finale, op welke plaats dan ook</t>
  </si>
  <si>
    <t>Winnaar troostfinale</t>
  </si>
  <si>
    <t>Juiste team in finale, op welke plaats dan ook</t>
  </si>
  <si>
    <t>Duitsland</t>
  </si>
  <si>
    <t>Engeland</t>
  </si>
  <si>
    <t>Portugal</t>
  </si>
  <si>
    <t>Frankrijk</t>
  </si>
  <si>
    <t>Zwitserland</t>
  </si>
  <si>
    <t>Spanje</t>
  </si>
  <si>
    <t>Deze gegevens moeten in ieder geval compleet zijn:</t>
  </si>
  <si>
    <t>Persoonlijke gegevens</t>
  </si>
  <si>
    <t>Adres:</t>
  </si>
  <si>
    <t>Woonplaats:</t>
  </si>
  <si>
    <t>Telefoonnummer:</t>
  </si>
  <si>
    <t>Teamnaam:</t>
  </si>
  <si>
    <t>Inleg per team</t>
  </si>
  <si>
    <t>1e prijs</t>
  </si>
  <si>
    <t>2e prijs</t>
  </si>
  <si>
    <t>3e prijs</t>
  </si>
  <si>
    <t>Troostprijs</t>
  </si>
  <si>
    <t>13e prijs</t>
  </si>
  <si>
    <t>23e prijs</t>
  </si>
  <si>
    <t>€ 5,-</t>
  </si>
  <si>
    <t xml:space="preserve">team thuis </t>
  </si>
  <si>
    <t>toto</t>
  </si>
  <si>
    <t>team uit</t>
  </si>
  <si>
    <t>rekentabel</t>
  </si>
  <si>
    <t>Gespeeld</t>
  </si>
  <si>
    <t>Winst</t>
  </si>
  <si>
    <t>Gelijk</t>
  </si>
  <si>
    <t>Verlies</t>
  </si>
  <si>
    <t>Goals voor</t>
  </si>
  <si>
    <t>Goals tegen</t>
  </si>
  <si>
    <t>Verschil</t>
  </si>
  <si>
    <t>Punten</t>
  </si>
  <si>
    <t>A</t>
  </si>
  <si>
    <t>B</t>
  </si>
  <si>
    <t>C</t>
  </si>
  <si>
    <t>D</t>
  </si>
  <si>
    <t>E</t>
  </si>
  <si>
    <t>F</t>
  </si>
  <si>
    <t>positiebepaling</t>
  </si>
  <si>
    <t>AF1</t>
  </si>
  <si>
    <t>AF2</t>
  </si>
  <si>
    <t>AF3</t>
  </si>
  <si>
    <t>AF4</t>
  </si>
  <si>
    <t>AF5</t>
  </si>
  <si>
    <t>AF6</t>
  </si>
  <si>
    <t>AF7</t>
  </si>
  <si>
    <t>AF8</t>
  </si>
  <si>
    <t>KF1</t>
  </si>
  <si>
    <t>KF2</t>
  </si>
  <si>
    <t>KF3</t>
  </si>
  <si>
    <t>KF4</t>
  </si>
  <si>
    <t>HF1</t>
  </si>
  <si>
    <t>HF2</t>
  </si>
  <si>
    <t>Stand groepen</t>
  </si>
  <si>
    <t>Bij gelijke stand worden prijzen gedeeld</t>
  </si>
  <si>
    <t>a1</t>
  </si>
  <si>
    <t>a2</t>
  </si>
  <si>
    <t>b1</t>
  </si>
  <si>
    <t>b2</t>
  </si>
  <si>
    <t>c1</t>
  </si>
  <si>
    <t>c2</t>
  </si>
  <si>
    <t>d1</t>
  </si>
  <si>
    <t>d2</t>
  </si>
  <si>
    <t>e1</t>
  </si>
  <si>
    <t>e2</t>
  </si>
  <si>
    <t>f1</t>
  </si>
  <si>
    <t>f2</t>
  </si>
  <si>
    <t>Kroatië</t>
  </si>
  <si>
    <t>België</t>
  </si>
  <si>
    <t>21.00</t>
  </si>
  <si>
    <t>Naam:</t>
  </si>
  <si>
    <t>Croatia</t>
  </si>
  <si>
    <t>Spain</t>
  </si>
  <si>
    <t>England</t>
  </si>
  <si>
    <t>Italy</t>
  </si>
  <si>
    <t>Switserland</t>
  </si>
  <si>
    <t>France</t>
  </si>
  <si>
    <t>Belgium</t>
  </si>
  <si>
    <t>Group A</t>
  </si>
  <si>
    <t>Group B</t>
  </si>
  <si>
    <t>Group C</t>
  </si>
  <si>
    <t>Group D</t>
  </si>
  <si>
    <t>Group E</t>
  </si>
  <si>
    <t>Group F</t>
  </si>
  <si>
    <t>Group G</t>
  </si>
  <si>
    <t>Group H</t>
  </si>
  <si>
    <t>Gruppe A</t>
  </si>
  <si>
    <t>Kroatien</t>
  </si>
  <si>
    <t>Spanien</t>
  </si>
  <si>
    <t>Italien</t>
  </si>
  <si>
    <t>Schweiz</t>
  </si>
  <si>
    <t>Frankreich</t>
  </si>
  <si>
    <t>Deutschland</t>
  </si>
  <si>
    <t>Belgien</t>
  </si>
  <si>
    <t>Gruppe B</t>
  </si>
  <si>
    <t>Gruppe C</t>
  </si>
  <si>
    <t>Gruppe D</t>
  </si>
  <si>
    <t>Gruppe E</t>
  </si>
  <si>
    <t>Gruppe F</t>
  </si>
  <si>
    <t>Gruppe G</t>
  </si>
  <si>
    <t>Gruppe H</t>
  </si>
  <si>
    <t>Match</t>
  </si>
  <si>
    <t>Result</t>
  </si>
  <si>
    <t>Ergebnis</t>
  </si>
  <si>
    <t>Spiel</t>
  </si>
  <si>
    <t>Achtelfinale</t>
  </si>
  <si>
    <t>Viertelfinale</t>
  </si>
  <si>
    <t>Halbfinale</t>
  </si>
  <si>
    <t>Platz drei</t>
  </si>
  <si>
    <t>Round of 16</t>
  </si>
  <si>
    <t>Quarter-Finals</t>
  </si>
  <si>
    <t>Semi-Finals</t>
  </si>
  <si>
    <t>Third Place</t>
  </si>
  <si>
    <t>Final</t>
  </si>
  <si>
    <t xml:space="preserve">Als alles is ingevuld, sla het bestand op met de bestandsnaam: </t>
  </si>
  <si>
    <t>Name:</t>
  </si>
  <si>
    <t>Address:</t>
  </si>
  <si>
    <t>City:</t>
  </si>
  <si>
    <t>Ort:</t>
  </si>
  <si>
    <t>Adresse:</t>
  </si>
  <si>
    <t>Telephone number:</t>
  </si>
  <si>
    <t>Personal Information</t>
  </si>
  <si>
    <t>1. Preis</t>
  </si>
  <si>
    <t>5. Preis</t>
  </si>
  <si>
    <t>4. Preis</t>
  </si>
  <si>
    <t>3. Preis</t>
  </si>
  <si>
    <t>2. Preis</t>
  </si>
  <si>
    <t>2nd Price</t>
  </si>
  <si>
    <t>13th price</t>
  </si>
  <si>
    <t>3th price</t>
  </si>
  <si>
    <t>1st price</t>
  </si>
  <si>
    <t>23th price</t>
  </si>
  <si>
    <t>Trostpreis</t>
  </si>
  <si>
    <t>13. Preis</t>
  </si>
  <si>
    <t>23. Preis</t>
  </si>
  <si>
    <t>Encouragement price</t>
  </si>
  <si>
    <t>Deposit per team</t>
  </si>
  <si>
    <t>Kaution pro Team</t>
  </si>
  <si>
    <t>bassiespooltje@hotmail.com</t>
  </si>
  <si>
    <t>33e prijs</t>
  </si>
  <si>
    <t>43e prijs</t>
  </si>
  <si>
    <t>53e prijs</t>
  </si>
  <si>
    <t>33th price</t>
  </si>
  <si>
    <t>43th price</t>
  </si>
  <si>
    <t>53th price</t>
  </si>
  <si>
    <t>Landen</t>
  </si>
  <si>
    <t>Denemarken</t>
  </si>
  <si>
    <t>Polen</t>
  </si>
  <si>
    <t>Datum</t>
  </si>
  <si>
    <t>Denmark</t>
  </si>
  <si>
    <t>Germany</t>
  </si>
  <si>
    <t>Poland</t>
  </si>
  <si>
    <t>Dänemark</t>
  </si>
  <si>
    <t>Nederlands</t>
  </si>
  <si>
    <t>English</t>
  </si>
  <si>
    <t>Deutsch</t>
  </si>
  <si>
    <t>Language:</t>
  </si>
  <si>
    <t>Taal:</t>
  </si>
  <si>
    <t>Sprache:</t>
  </si>
  <si>
    <t>Date</t>
  </si>
  <si>
    <t>select…</t>
  </si>
  <si>
    <t>selecteer…</t>
  </si>
  <si>
    <t>vul winnaar in AF1</t>
  </si>
  <si>
    <t>vul winnaar in AF2</t>
  </si>
  <si>
    <t>vul winnaar in AF3</t>
  </si>
  <si>
    <t>vul winnaar in AF4</t>
  </si>
  <si>
    <t>vul winnaar in AF5</t>
  </si>
  <si>
    <t>vul winnaar in AF6</t>
  </si>
  <si>
    <t>vul winnaar in AF7</t>
  </si>
  <si>
    <t>vul winnaar in AF8</t>
  </si>
  <si>
    <t>vul winnaar in KF1</t>
  </si>
  <si>
    <t>vul winnaar in KF2</t>
  </si>
  <si>
    <t>vul winnaar in KF3</t>
  </si>
  <si>
    <t>vul winnaar in KF4</t>
  </si>
  <si>
    <t>vul winnaar in HF1</t>
  </si>
  <si>
    <t>vul winnaar in HF2</t>
  </si>
  <si>
    <t>vul verliezer in HF1</t>
  </si>
  <si>
    <t>vul verliezer in HF2</t>
  </si>
  <si>
    <t>1. Welke land krijgt de meeste tegendoelpunten in de groepsfase?  (5 punten)</t>
  </si>
  <si>
    <t>2. Welk land krijgt de minste tegendoelpunten in de groepsfase?  (5 punten)</t>
  </si>
  <si>
    <t>3. Welk land scoort de meeste doelpunten in de groepsfase?  (5 punten)</t>
  </si>
  <si>
    <t>4. Welk land scoort de minste doelpunten in de groepsfase?  (5 punten)</t>
  </si>
  <si>
    <t>6. Hoeveel doelpunten worden er in het toernooi gescoord?  (range ±5=5pnt)</t>
  </si>
  <si>
    <t>7. Hoeveel gele kaarten vallen er in het toernooi?   (range ±5=5pnt)</t>
  </si>
  <si>
    <t>winner of AF1</t>
  </si>
  <si>
    <t>winner of AF2</t>
  </si>
  <si>
    <t>winner of AF3</t>
  </si>
  <si>
    <t>winner of AF4</t>
  </si>
  <si>
    <t>winner of AF5</t>
  </si>
  <si>
    <t>winner of AF6</t>
  </si>
  <si>
    <t>winner of AF7</t>
  </si>
  <si>
    <t>winner of AF8</t>
  </si>
  <si>
    <t>winner of KF1</t>
  </si>
  <si>
    <t>winner of KF2</t>
  </si>
  <si>
    <t>winner of KF3</t>
  </si>
  <si>
    <t>winner of KF4</t>
  </si>
  <si>
    <t>loser of HF1</t>
  </si>
  <si>
    <t>loser of HF2</t>
  </si>
  <si>
    <t>winner of HF1</t>
  </si>
  <si>
    <t>winner of HF2</t>
  </si>
  <si>
    <t>Gewinner von AF1</t>
  </si>
  <si>
    <t>Gewinner von AF2</t>
  </si>
  <si>
    <t>Gewinner von AF3</t>
  </si>
  <si>
    <t>Gewinner von AF4</t>
  </si>
  <si>
    <t>Gewinner von AF5</t>
  </si>
  <si>
    <t>Gewinner von AF6</t>
  </si>
  <si>
    <t>Gewinner von AF7</t>
  </si>
  <si>
    <t>Gewinner von AF8</t>
  </si>
  <si>
    <t>Gewinner von KF1</t>
  </si>
  <si>
    <t>Gewinner von KF2</t>
  </si>
  <si>
    <t>Gewinner von KF3</t>
  </si>
  <si>
    <t>Gewinner von KF4</t>
  </si>
  <si>
    <t>Verlierer von HF1</t>
  </si>
  <si>
    <t>Verlierer von HF2</t>
  </si>
  <si>
    <t>Gewinner von HF1</t>
  </si>
  <si>
    <t>Gewinner von HF2</t>
  </si>
  <si>
    <t>Teamname</t>
  </si>
  <si>
    <t>Teamnaam</t>
  </si>
  <si>
    <t>Winner Third Place</t>
  </si>
  <si>
    <t>Gewinner Platz drei</t>
  </si>
  <si>
    <t>Winnaar van 3e plaats</t>
  </si>
  <si>
    <t>Winnaar finale</t>
  </si>
  <si>
    <t>Winner final</t>
  </si>
  <si>
    <t>Gewinner Finale</t>
  </si>
  <si>
    <t>score</t>
  </si>
  <si>
    <t>Taal_selecteer_formule:</t>
  </si>
  <si>
    <t>• Het invulblad bepaalt automatisch welke landen doorgaan naar de volgende ronde,</t>
  </si>
  <si>
    <t xml:space="preserve">• Vanaf de achtste finales tot en met de finale geldt de uitslag na een eventueel verlengen van de wedstrijd, maar </t>
  </si>
  <si>
    <t>• Het invulblad geeft aan waar je eventueel een winnaar handmatig moet invullen.</t>
  </si>
  <si>
    <t>voor strafschoppen. Als je in een 'finale' een gelijkspel voorspelt, vul dan zelf weer de winnaar in voor de volgende 'finale'!</t>
  </si>
  <si>
    <t xml:space="preserve">.xlsx </t>
  </si>
  <si>
    <t>en stuur deze dan naar:</t>
  </si>
  <si>
    <t>• Het invulblad heeft selectiemogelijkheden voor uitslagen, toto en landenkeuze. Dit is handig voor mobiel invullen!</t>
  </si>
  <si>
    <t>• Als je de winkansen wilt spreiden, kan je ook handmatig de finalisten selecteren of een andere toto invullen.</t>
  </si>
  <si>
    <t>and sent this to</t>
  </si>
  <si>
    <t>.xlsx</t>
  </si>
  <si>
    <t>und versand zu</t>
  </si>
  <si>
    <t>The following information needs to be completed:</t>
  </si>
  <si>
    <t>• Persoonlijke gegevens (zie hieronder)</t>
  </si>
  <si>
    <t>• Detailvragen (zie hieronder)</t>
  </si>
  <si>
    <t>• Personal information (see below)</t>
  </si>
  <si>
    <t>• Detail Questions (see below)</t>
  </si>
  <si>
    <t>• Detail Fragen (weiter unten)</t>
  </si>
  <si>
    <t>• Results from the matches (form on the left)</t>
  </si>
  <si>
    <t>• Die Ergebnisse (Formel linkerseite)</t>
  </si>
  <si>
    <t>5. Who will be top scorer of the tournament? (5 points)</t>
  </si>
  <si>
    <t>7. How many yellow cards are in the tournament? (range ±5 = 5 points)</t>
  </si>
  <si>
    <t>6. How many goals will be scored in the tournament? (range ±5 = 5 points)</t>
  </si>
  <si>
    <t>Prizes are shared in the same stand</t>
  </si>
  <si>
    <t>• The fill-in sheet automatically determines which countries will proceed to the next round,</t>
  </si>
  <si>
    <t>• The fill-in sheet indicates where you possibly have to enter a winner manually.</t>
  </si>
  <si>
    <t>• The fill-sheet has selection options for results, 'toto' and country selection. This is useful for mobile filling!</t>
  </si>
  <si>
    <t>Right number of goals at home playing team (correct 'toto')</t>
  </si>
  <si>
    <t>Right number of goals at home playing team (incorrect 'toto')</t>
  </si>
  <si>
    <t>• If you want to spread the odds, you can also select the finalists manually or fill in another toto.</t>
  </si>
  <si>
    <t>Correct number of goals from playing team (correct 'toto')</t>
  </si>
  <si>
    <t>Correct number of goals from playing team (incorrect 'toto')</t>
  </si>
  <si>
    <t>Correct toto result (1=team 1 wins, 2=team 2 wins, 3=draw)</t>
  </si>
  <si>
    <t>Team on incorrect place in eighth final</t>
  </si>
  <si>
    <t>Right team in quarterfinals, at any place</t>
  </si>
  <si>
    <t>Team on right place in eighth final</t>
  </si>
  <si>
    <t>Winner play-off for third place</t>
  </si>
  <si>
    <t>Right team in semi-finals, at any place</t>
  </si>
  <si>
    <t>The right team in the final, at any place</t>
  </si>
  <si>
    <t>• From the eighth finals to the final, the result will apply after a possible extension of the match, however</t>
  </si>
  <si>
    <t xml:space="preserve">When everything is filled in, save the file with the filename: </t>
  </si>
  <si>
    <t>Bitte die nächste sachen eingeben:</t>
  </si>
  <si>
    <t>Das richtige Team im Finale, an jedem Ort</t>
  </si>
  <si>
    <t xml:space="preserve">Gewinner Spiel um Platz drei </t>
  </si>
  <si>
    <t>Das richtige Team im Halbfinale, an jedem Ort</t>
  </si>
  <si>
    <t>Das richtige Team im Viertelfinale, an jedem Ort</t>
  </si>
  <si>
    <t>Team auf dem richtigen Platz im achten Finale</t>
  </si>
  <si>
    <t>Team auf dem falschen Platz im achten Finale</t>
  </si>
  <si>
    <t>Richtige Anzahl der Tore vom Spielenden Team (korrektes Toto)</t>
  </si>
  <si>
    <t>Richtige Anzahl der Tore vom Heimspiel-Team (falsches Toto)</t>
  </si>
  <si>
    <t>Richtige Anzahl der Tore vom Spielenden Team  (falsches Toto)</t>
  </si>
  <si>
    <t>Richtige Anzahl der Tore vom Heimspiel-Team (korrektes Toto)</t>
  </si>
  <si>
    <t>• Vom achten Finale bis zum Finale gilt das Ergebnis nach einer möglichen Verlängerung des Match, aber</t>
  </si>
  <si>
    <t>• Das Ausfüllblatt bestimmt automatisch, welche Länder in die nächste Runde kommen.</t>
  </si>
  <si>
    <t>• Das Ausfüllblatt zeigt an, wo Sie möglicherweise einen Gewinner manuell eingeben müssen.</t>
  </si>
  <si>
    <t>• Wenn Sie die Quoten verteilen möchten, können Sie auch die Finalisten manuell auswählen oder ein anderes Toto ausfüllen.</t>
  </si>
  <si>
    <t>Die Preise werden im selben Stand geteilt</t>
  </si>
  <si>
    <t xml:space="preserve">Wenn alles ausgefüllt ist, speichern Sie die Datei mit dem Dateinamen: </t>
  </si>
  <si>
    <t>Auswählen…</t>
  </si>
  <si>
    <t>3. Welches Land erzielt die meisten Tore in der Gruppenphase? (5 Punkte)</t>
  </si>
  <si>
    <t>4. Welches Land erzielt die wenigsten Tore in der Gruppenphase? (5 Punkte)</t>
  </si>
  <si>
    <t>5. Wer wird Torschützenkönig des Turniers? (5 Punkte)</t>
  </si>
  <si>
    <t>Team name</t>
  </si>
  <si>
    <t>• Die Tabelle enthält Auswahloptionen für die Ergebnisse, die Toto- und die Länderauswahl. Nützlich für das Handy!</t>
  </si>
  <si>
    <t>für das Elfmeterschießen. Bei Gleichstand in einem "Finale", füllen Sie den Gewinner für das nächste "Finale" erneut aus!</t>
  </si>
  <si>
    <t>6. Wie viele Tore werden im Turnier erzielt? (Bereich ± 5 = 5 Punkte)</t>
  </si>
  <si>
    <t>Richtige toto Ergebnis (1=team 1 gewinnt, 2=team 2 gew., 3=Gleich)</t>
  </si>
  <si>
    <t>Personalien:</t>
  </si>
  <si>
    <t>Telefonnummer:</t>
  </si>
  <si>
    <t>1. Welches Land bekommt die meisten Gegentore in der Gruppenphase? (5 Punkte)</t>
  </si>
  <si>
    <t>2. Welches Land bekommt die wenigsten Gegentore in der Gruppenphase? (5 Punkte)</t>
  </si>
  <si>
    <t>7. Wieviele gelbe Karten werden im Turnier vergeben? (Bereich ± 5 = 5 Punkte)</t>
  </si>
  <si>
    <t>• Personalien (weiter unten)</t>
  </si>
  <si>
    <t>1. Which country will have the most goals against them in the group phase? (5 points)</t>
  </si>
  <si>
    <t>3. Which country will have the most goals for them in the group phase? (5 points)</t>
  </si>
  <si>
    <t>2. Which country will have the least goals against them in the group phase? (5 points)</t>
  </si>
  <si>
    <t>4. Which country will have the least goals for them in the group phase? (5 points)</t>
  </si>
  <si>
    <t>15.00</t>
  </si>
  <si>
    <t>18.00</t>
  </si>
  <si>
    <t>uitgoals</t>
  </si>
  <si>
    <t>3e positiebepaling per poule</t>
  </si>
  <si>
    <t>lager= beter</t>
  </si>
  <si>
    <t>uitgangspunt UEFA</t>
  </si>
  <si>
    <t>wedstrijd 39</t>
  </si>
  <si>
    <t>wedstrijd 40</t>
  </si>
  <si>
    <t>a</t>
  </si>
  <si>
    <t>b</t>
  </si>
  <si>
    <t>c</t>
  </si>
  <si>
    <t>d</t>
  </si>
  <si>
    <t>e</t>
  </si>
  <si>
    <t>f</t>
  </si>
  <si>
    <t>nr. 1 groep B</t>
  </si>
  <si>
    <t>nr. 1 groep C</t>
  </si>
  <si>
    <t>resultaat</t>
  </si>
  <si>
    <t>som positiebepaling (lager = beter)</t>
  </si>
  <si>
    <t>wedstr</t>
  </si>
  <si>
    <t>uit</t>
  </si>
  <si>
    <t>groep A, B, C en D</t>
  </si>
  <si>
    <t>nr. 3 groep D</t>
  </si>
  <si>
    <t>nr. 3 groep B</t>
  </si>
  <si>
    <t>nr. 3 groep C</t>
  </si>
  <si>
    <t>nr. 3 groep A</t>
  </si>
  <si>
    <t>groep A, B, C en E</t>
  </si>
  <si>
    <t>nr. 3 groep E</t>
  </si>
  <si>
    <t>groep A, B, C en F</t>
  </si>
  <si>
    <t>nr. 3 groep F</t>
  </si>
  <si>
    <t>groep A, B, D en E</t>
  </si>
  <si>
    <t>groep A, B, D en F</t>
  </si>
  <si>
    <t>groep A, B, E en F</t>
  </si>
  <si>
    <t>groep A, C, D en E</t>
  </si>
  <si>
    <t>groep A, C, D en F</t>
  </si>
  <si>
    <t>groep A, C, E en F</t>
  </si>
  <si>
    <t>groep A, D, E en F</t>
  </si>
  <si>
    <t>groep B, C, D en E</t>
  </si>
  <si>
    <t>groep B, C, D en F</t>
  </si>
  <si>
    <t>groep B, C, E en F</t>
  </si>
  <si>
    <t>groep B, D, E en F</t>
  </si>
  <si>
    <t>groep C, D, E en F</t>
  </si>
  <si>
    <t>Turkije</t>
  </si>
  <si>
    <t>Turkey</t>
  </si>
  <si>
    <t>Türkei</t>
  </si>
  <si>
    <t>Italië</t>
  </si>
  <si>
    <t>Oostenrijk</t>
  </si>
  <si>
    <t>Austria</t>
  </si>
  <si>
    <t>Österreich</t>
  </si>
  <si>
    <t>Nederland</t>
  </si>
  <si>
    <t>Netherlands</t>
  </si>
  <si>
    <t>Niederlande</t>
  </si>
  <si>
    <t>Ukraine</t>
  </si>
  <si>
    <t>Schotland</t>
  </si>
  <si>
    <t>Scotland</t>
  </si>
  <si>
    <t>Schottland</t>
  </si>
  <si>
    <t>Tsjechië</t>
  </si>
  <si>
    <t>Czech Republic</t>
  </si>
  <si>
    <t>Slovakia</t>
  </si>
  <si>
    <t>Slowakei</t>
  </si>
  <si>
    <t>Hongarije</t>
  </si>
  <si>
    <t>Hungary</t>
  </si>
  <si>
    <t>Ungarn</t>
  </si>
  <si>
    <t>Europees kampioen</t>
  </si>
  <si>
    <t>Euro Champion</t>
  </si>
  <si>
    <t>Inschrijfformulier</t>
  </si>
  <si>
    <t>Registration</t>
  </si>
  <si>
    <t>Anmeldung</t>
  </si>
  <si>
    <t>Bonus detailvragen</t>
  </si>
  <si>
    <t>Bonus Detail Questions</t>
  </si>
  <si>
    <t>Bonus Detailfragen</t>
  </si>
  <si>
    <t>Puntentelling</t>
  </si>
  <si>
    <t>Scoring</t>
  </si>
  <si>
    <t>Teamname / Alias*:</t>
  </si>
  <si>
    <t>Vorname*:</t>
  </si>
  <si>
    <t>Nachname*:</t>
  </si>
  <si>
    <t>E-mail*:</t>
  </si>
  <si>
    <t xml:space="preserve">E-mail*: </t>
  </si>
  <si>
    <t>Achternaam*:</t>
  </si>
  <si>
    <t>Tussenvoegsel*:</t>
  </si>
  <si>
    <t xml:space="preserve">Voornaam*: </t>
  </si>
  <si>
    <t xml:space="preserve">Teamnaam*: </t>
  </si>
  <si>
    <t>Teamname*:</t>
  </si>
  <si>
    <t>First name*:</t>
  </si>
  <si>
    <t>Middle name*:</t>
  </si>
  <si>
    <t>Last name*:</t>
  </si>
  <si>
    <t>Slowakije</t>
  </si>
  <si>
    <t>Oekraïne</t>
  </si>
  <si>
    <t>nr. 1 groep E</t>
  </si>
  <si>
    <t>nr. 1 groep F</t>
  </si>
  <si>
    <t>Rewards</t>
  </si>
  <si>
    <t>Preizen</t>
  </si>
  <si>
    <t>Prijzen</t>
  </si>
  <si>
    <t>von / von der usw.*:</t>
  </si>
  <si>
    <t>before penalties / kicks. If you predict a draw in a 'final', then fill in manually the winner for the next 'final'!</t>
  </si>
  <si>
    <t>• Uitslagen wedstrijden (invulformulier links)</t>
  </si>
  <si>
    <t>Fifa ranking 5-4-21</t>
  </si>
  <si>
    <t>3acd</t>
  </si>
  <si>
    <t>3bef</t>
  </si>
  <si>
    <t>3cde</t>
  </si>
  <si>
    <t>3abf</t>
  </si>
  <si>
    <t>Europameister</t>
  </si>
  <si>
    <t>8. Wie scoort het eerste doelpunt voor Nederland?  (5 punten)</t>
  </si>
  <si>
    <t>9. Welke Nederlandse speler krijgt de eerste gele kaart?  (5 punten)</t>
  </si>
  <si>
    <t>10. Hoeveel doelpunten maakt Nederland in totaal?  (5 punten)</t>
  </si>
  <si>
    <t>11. Wie wordt topscoorder van Nederland?  (5 punten)</t>
  </si>
  <si>
    <t xml:space="preserve">8. Who will score the first goal for the Netherlands?  (5 points) </t>
  </si>
  <si>
    <t xml:space="preserve">9. Which Dutch player will receive the first yellow card?  (5 points) </t>
  </si>
  <si>
    <t xml:space="preserve">10. How many goals will the Netherlands score in total?  (5 points) </t>
  </si>
  <si>
    <t>11. Who will be the top scorer in the Netherlands?  (5 points)</t>
  </si>
  <si>
    <t>11. Wer wird der beste Torschütze in den Niederlanden sein?  (5 Punkte)</t>
  </si>
  <si>
    <t xml:space="preserve">10. Wie viele Tore werden die Niederlande insgesamt erzielen?  (5 Punkte) </t>
  </si>
  <si>
    <t xml:space="preserve">9. Welcher niederländische Spieler erhält die erste gelbe Karte?  (5 Punkte) </t>
  </si>
  <si>
    <t xml:space="preserve">8. Wer erzielt das erste Tor für die Niederlande?  (5 Punkte) </t>
  </si>
  <si>
    <t>uitslag</t>
  </si>
  <si>
    <t>opnieuw "bepaling beste nrs 3"</t>
  </si>
  <si>
    <t>nwe positiebep</t>
  </si>
  <si>
    <t>Bepaling van de vier beste nrs.3 euro 2020</t>
  </si>
  <si>
    <t>Poule</t>
  </si>
  <si>
    <t>3A/D/E/F</t>
  </si>
  <si>
    <t>3D/E/F</t>
  </si>
  <si>
    <t>3A/B/C/D</t>
  </si>
  <si>
    <t>3A/B/C</t>
  </si>
  <si>
    <t>wedstrijd 43</t>
  </si>
  <si>
    <t>wedstrijd 41</t>
  </si>
  <si>
    <t>21.03</t>
  </si>
  <si>
    <t>wint van</t>
  </si>
  <si>
    <t>verliest van</t>
  </si>
  <si>
    <t>gelijk</t>
  </si>
  <si>
    <t>adef</t>
  </si>
  <si>
    <t>def</t>
  </si>
  <si>
    <t>abc</t>
  </si>
  <si>
    <t>abcd</t>
  </si>
  <si>
    <t>behalve bij een gelijke stand in de groepsfase en bij gelijkspel in de 'finales'.</t>
  </si>
  <si>
    <t>except for a tie in the group stage and in a draw in the 'finals'.</t>
  </si>
  <si>
    <t>abgesehen von einem Unentschieden in der Gruppenphase und einem Unentschieden im Finale.</t>
  </si>
  <si>
    <t>Aké</t>
  </si>
  <si>
    <t>Blind</t>
  </si>
  <si>
    <t>Dumfries</t>
  </si>
  <si>
    <t>De Ligt</t>
  </si>
  <si>
    <t>De Vrij</t>
  </si>
  <si>
    <t>F. de Jong</t>
  </si>
  <si>
    <t>Gravenberch</t>
  </si>
  <si>
    <t>Koopmeiners</t>
  </si>
  <si>
    <t>Wijnaldum</t>
  </si>
  <si>
    <t>Depay</t>
  </si>
  <si>
    <t>Gakpo</t>
  </si>
  <si>
    <t>Malen</t>
  </si>
  <si>
    <t>Weghorst</t>
  </si>
  <si>
    <t>Selectie</t>
  </si>
  <si>
    <t>Albanië</t>
  </si>
  <si>
    <t>Albania</t>
  </si>
  <si>
    <t>Albanien</t>
  </si>
  <si>
    <t>Slovenië</t>
  </si>
  <si>
    <t>Slovania</t>
  </si>
  <si>
    <t>Serbia</t>
  </si>
  <si>
    <t>Serbien</t>
  </si>
  <si>
    <t>Servië</t>
  </si>
  <si>
    <t>Roemenië</t>
  </si>
  <si>
    <t>Romania</t>
  </si>
  <si>
    <t>Georgië</t>
  </si>
  <si>
    <t>Georgia</t>
  </si>
  <si>
    <t>Georgien</t>
  </si>
  <si>
    <t>Slowenien</t>
  </si>
  <si>
    <t>Rumänien</t>
  </si>
  <si>
    <t>EK 2024 Voetbalpool</t>
  </si>
  <si>
    <t>EC 2024 Soccer Pool</t>
  </si>
  <si>
    <t>EM 2024 Fussball Pool</t>
  </si>
  <si>
    <t>Tschechien</t>
  </si>
  <si>
    <t>Lever het formulier en de inleg in vóór 14 juni 2024 18:00 uur bij Bas of Bastiaan, anders geen deelname.</t>
  </si>
  <si>
    <t>Hand in the form &amp; deposit before 14 June '24 17:00hr (GMT) to Bas or Bastiaan, otherwise no participation.</t>
  </si>
  <si>
    <t>Geben Sie das Formular &amp; Anzahlung vor dem 14.06.2024 18:00Uhr bei Bas ab, ansonsten keine Teilnahme.</t>
  </si>
  <si>
    <t>Bijlow</t>
  </si>
  <si>
    <t>Flekken</t>
  </si>
  <si>
    <t>Verbruggen</t>
  </si>
  <si>
    <t>keeper</t>
  </si>
  <si>
    <t>verdediger</t>
  </si>
  <si>
    <t>Frimpong</t>
  </si>
  <si>
    <t>Geertruida</t>
  </si>
  <si>
    <t>Van de Ven</t>
  </si>
  <si>
    <t>Reijnders</t>
  </si>
  <si>
    <t>middenvelder</t>
  </si>
  <si>
    <t>Schouten</t>
  </si>
  <si>
    <t>Simons</t>
  </si>
  <si>
    <t>Veerman</t>
  </si>
  <si>
    <t>Bergwijn</t>
  </si>
  <si>
    <t>Brobbey</t>
  </si>
  <si>
    <t>aanvaller</t>
  </si>
  <si>
    <t>5. Wie wordt topscoorder van het toernooi? (Achternaam) (5 punten)</t>
  </si>
  <si>
    <t>Bratwurst</t>
  </si>
  <si>
    <t>v1.2</t>
  </si>
  <si>
    <t>Van Dijk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</si>
</sst>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h\.mm"/>
    <numFmt numFmtId="165" formatCode="0.00000"/>
  </numFmts>
  <fonts count="28">
    <font>
      <sz val="10"/>
      <name val="Arial"/>
    </font>
    <font>
      <b/>
      <sz val="10"/>
      <color indexed="43"/>
      <name val="Arial"/>
      <family val="2"/>
    </font>
    <font>
      <b/>
      <sz val="9"/>
      <color indexed="4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9"/>
      <color indexed="8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2"/>
      <color indexed="43"/>
      <name val="Arial"/>
      <family val="2"/>
    </font>
    <font>
      <sz val="8"/>
      <name val="Arial"/>
      <family val="2"/>
    </font>
    <font>
      <b/>
      <sz val="14"/>
      <color indexed="43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color indexed="43"/>
      <name val="Arial"/>
      <family val="2"/>
    </font>
    <font>
      <b/>
      <sz val="11"/>
      <name val="Arial"/>
      <family val="2"/>
    </font>
    <font>
      <u/>
      <sz val="11"/>
      <name val="Arial"/>
      <family val="2"/>
    </font>
    <font>
      <b/>
      <sz val="14"/>
      <color indexed="9"/>
      <name val="Arial"/>
      <family val="2"/>
    </font>
    <font>
      <b/>
      <sz val="14"/>
      <name val="Arial"/>
      <family val="2"/>
    </font>
    <font>
      <sz val="9"/>
      <name val="Tahoma"/>
      <family val="2"/>
    </font>
    <font>
      <sz val="9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8"/>
      <color indexed="43"/>
      <name val="Arial"/>
      <family val="2"/>
    </font>
    <font>
      <sz val="9"/>
      <color theme="1"/>
      <name val="Arial"/>
      <family val="2"/>
    </font>
    <font>
      <b/>
      <sz val="9"/>
      <name val="Tahoma"/>
      <family val="2"/>
    </font>
    <font>
      <sz val="8"/>
      <color indexed="4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7CE68"/>
        <bgColor rgb="FF000000"/>
      </patternFill>
    </fill>
    <fill>
      <patternFill patternType="solid">
        <fgColor rgb="FF97CE68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201">
    <xf numFmtId="0" fontId="0" fillId="0" borderId="0" xfId="0"/>
    <xf numFmtId="0" fontId="1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3" fillId="4" borderId="0" xfId="0" applyFont="1" applyFill="1"/>
    <xf numFmtId="0" fontId="3" fillId="0" borderId="0" xfId="0" applyFont="1"/>
    <xf numFmtId="0" fontId="3" fillId="2" borderId="4" xfId="0" applyFont="1" applyFill="1" applyBorder="1"/>
    <xf numFmtId="0" fontId="3" fillId="2" borderId="5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center"/>
    </xf>
    <xf numFmtId="0" fontId="3" fillId="4" borderId="6" xfId="0" applyFont="1" applyFill="1" applyBorder="1"/>
    <xf numFmtId="0" fontId="3" fillId="0" borderId="1" xfId="0" applyFont="1" applyBorder="1" applyAlignment="1">
      <alignment horizontal="left"/>
    </xf>
    <xf numFmtId="0" fontId="3" fillId="4" borderId="0" xfId="0" applyFont="1" applyFill="1" applyAlignment="1">
      <alignment horizontal="center"/>
    </xf>
    <xf numFmtId="0" fontId="0" fillId="4" borderId="11" xfId="0" applyFill="1" applyBorder="1"/>
    <xf numFmtId="0" fontId="4" fillId="0" borderId="0" xfId="0" applyFont="1"/>
    <xf numFmtId="0" fontId="19" fillId="0" borderId="0" xfId="0" applyFont="1" applyAlignment="1">
      <alignment horizontal="center"/>
    </xf>
    <xf numFmtId="0" fontId="19" fillId="0" borderId="0" xfId="0" applyFont="1"/>
    <xf numFmtId="0" fontId="3" fillId="0" borderId="4" xfId="0" applyFont="1" applyBorder="1"/>
    <xf numFmtId="0" fontId="3" fillId="0" borderId="5" xfId="0" applyFont="1" applyBorder="1" applyAlignment="1">
      <alignment horizontal="left"/>
    </xf>
    <xf numFmtId="0" fontId="3" fillId="0" borderId="6" xfId="0" applyFont="1" applyBorder="1"/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49" fontId="5" fillId="3" borderId="1" xfId="0" applyNumberFormat="1" applyFon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49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0" fontId="0" fillId="5" borderId="0" xfId="0" applyFill="1"/>
    <xf numFmtId="49" fontId="2" fillId="3" borderId="9" xfId="0" applyNumberFormat="1" applyFont="1" applyFill="1" applyBorder="1" applyAlignment="1" applyProtection="1">
      <alignment vertical="center"/>
      <protection locked="0"/>
    </xf>
    <xf numFmtId="49" fontId="1" fillId="3" borderId="9" xfId="0" applyNumberFormat="1" applyFont="1" applyFill="1" applyBorder="1" applyAlignment="1" applyProtection="1">
      <alignment vertical="center"/>
      <protection locked="0"/>
    </xf>
    <xf numFmtId="49" fontId="1" fillId="3" borderId="9" xfId="0" applyNumberFormat="1" applyFont="1" applyFill="1" applyBorder="1" applyAlignment="1" applyProtection="1">
      <alignment horizontal="center" vertical="center"/>
      <protection locked="0"/>
    </xf>
    <xf numFmtId="49" fontId="5" fillId="3" borderId="1" xfId="0" applyNumberFormat="1" applyFont="1" applyFill="1" applyBorder="1" applyAlignment="1" applyProtection="1">
      <alignment horizontal="left" vertical="center"/>
      <protection locked="0"/>
    </xf>
    <xf numFmtId="49" fontId="5" fillId="3" borderId="3" xfId="0" applyNumberFormat="1" applyFont="1" applyFill="1" applyBorder="1" applyAlignment="1" applyProtection="1">
      <alignment horizontal="center" vertical="center"/>
      <protection locked="0"/>
    </xf>
    <xf numFmtId="49" fontId="0" fillId="2" borderId="2" xfId="0" applyNumberFormat="1" applyFill="1" applyBorder="1" applyAlignment="1" applyProtection="1">
      <alignment horizontal="center" vertical="center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49" fontId="0" fillId="2" borderId="7" xfId="0" applyNumberFormat="1" applyFill="1" applyBorder="1" applyAlignment="1" applyProtection="1">
      <alignment horizontal="center" vertical="center"/>
      <protection locked="0"/>
    </xf>
    <xf numFmtId="49" fontId="0" fillId="2" borderId="3" xfId="0" applyNumberFormat="1" applyFill="1" applyBorder="1" applyAlignment="1" applyProtection="1">
      <alignment horizontal="center" vertical="center"/>
      <protection locked="0"/>
    </xf>
    <xf numFmtId="49" fontId="5" fillId="3" borderId="18" xfId="0" applyNumberFormat="1" applyFont="1" applyFill="1" applyBorder="1" applyAlignment="1" applyProtection="1">
      <alignment horizontal="center" vertical="center"/>
      <protection locked="0"/>
    </xf>
    <xf numFmtId="49" fontId="0" fillId="2" borderId="16" xfId="0" applyNumberFormat="1" applyFill="1" applyBorder="1" applyAlignment="1" applyProtection="1">
      <alignment horizontal="center" vertical="center"/>
      <protection locked="0"/>
    </xf>
    <xf numFmtId="49" fontId="9" fillId="3" borderId="9" xfId="0" applyNumberFormat="1" applyFont="1" applyFill="1" applyBorder="1" applyAlignment="1" applyProtection="1">
      <alignment vertical="center"/>
      <protection locked="0"/>
    </xf>
    <xf numFmtId="49" fontId="6" fillId="2" borderId="1" xfId="0" applyNumberFormat="1" applyFont="1" applyFill="1" applyBorder="1" applyAlignment="1" applyProtection="1">
      <alignment vertical="center"/>
      <protection locked="0"/>
    </xf>
    <xf numFmtId="49" fontId="6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left" vertical="center"/>
      <protection locked="0"/>
    </xf>
    <xf numFmtId="49" fontId="3" fillId="2" borderId="3" xfId="0" applyNumberFormat="1" applyFont="1" applyFill="1" applyBorder="1" applyAlignment="1" applyProtection="1">
      <alignment horizontal="left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5" xfId="0" applyNumberFormat="1" applyFont="1" applyFill="1" applyBorder="1" applyAlignment="1" applyProtection="1">
      <alignment horizontal="left" vertical="center"/>
      <protection locked="0"/>
    </xf>
    <xf numFmtId="16" fontId="5" fillId="3" borderId="1" xfId="0" applyNumberFormat="1" applyFont="1" applyFill="1" applyBorder="1" applyAlignment="1" applyProtection="1">
      <alignment horizontal="left" vertical="center"/>
      <protection locked="0"/>
    </xf>
    <xf numFmtId="0" fontId="1" fillId="3" borderId="1" xfId="0" applyFont="1" applyFill="1" applyBorder="1" applyProtection="1">
      <protection locked="0"/>
    </xf>
    <xf numFmtId="49" fontId="24" fillId="3" borderId="3" xfId="0" applyNumberFormat="1" applyFont="1" applyFill="1" applyBorder="1" applyAlignment="1" applyProtection="1">
      <alignment horizontal="right"/>
      <protection locked="0"/>
    </xf>
    <xf numFmtId="16" fontId="5" fillId="3" borderId="15" xfId="0" applyNumberFormat="1" applyFont="1" applyFill="1" applyBorder="1" applyAlignment="1" applyProtection="1">
      <alignment horizontal="left" vertical="center"/>
      <protection locked="0"/>
    </xf>
    <xf numFmtId="49" fontId="25" fillId="2" borderId="1" xfId="0" applyNumberFormat="1" applyFont="1" applyFill="1" applyBorder="1" applyAlignment="1" applyProtection="1">
      <alignment vertical="center"/>
      <protection locked="0"/>
    </xf>
    <xf numFmtId="0" fontId="4" fillId="0" borderId="0" xfId="0" applyFont="1" applyAlignment="1">
      <alignment wrapText="1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1" fillId="3" borderId="15" xfId="0" applyFont="1" applyFill="1" applyBorder="1" applyProtection="1">
      <protection locked="0"/>
    </xf>
    <xf numFmtId="0" fontId="23" fillId="2" borderId="15" xfId="0" applyFont="1" applyFill="1" applyBorder="1" applyProtection="1">
      <protection locked="0"/>
    </xf>
    <xf numFmtId="0" fontId="23" fillId="2" borderId="1" xfId="0" applyFont="1" applyFill="1" applyBorder="1" applyProtection="1">
      <protection locked="0"/>
    </xf>
    <xf numFmtId="0" fontId="23" fillId="2" borderId="3" xfId="0" applyFont="1" applyFill="1" applyBorder="1" applyProtection="1">
      <protection locked="0"/>
    </xf>
    <xf numFmtId="0" fontId="3" fillId="2" borderId="15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3" xfId="0" applyFont="1" applyFill="1" applyBorder="1" applyProtection="1">
      <protection locked="0"/>
    </xf>
    <xf numFmtId="0" fontId="23" fillId="2" borderId="1" xfId="0" applyFont="1" applyFill="1" applyBorder="1" applyAlignment="1" applyProtection="1">
      <alignment vertical="center"/>
      <protection locked="0"/>
    </xf>
    <xf numFmtId="0" fontId="23" fillId="2" borderId="3" xfId="0" applyFont="1" applyFill="1" applyBorder="1" applyAlignment="1" applyProtection="1">
      <alignment vertical="center"/>
      <protection locked="0"/>
    </xf>
    <xf numFmtId="0" fontId="7" fillId="4" borderId="22" xfId="1" applyFill="1" applyBorder="1" applyAlignment="1" applyProtection="1">
      <alignment vertical="center"/>
    </xf>
    <xf numFmtId="0" fontId="3" fillId="2" borderId="5" xfId="0" quotePrefix="1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 applyAlignment="1">
      <alignment wrapText="1"/>
    </xf>
    <xf numFmtId="0" fontId="3" fillId="0" borderId="0" xfId="0" quotePrefix="1" applyFont="1" applyAlignment="1">
      <alignment wrapText="1"/>
    </xf>
    <xf numFmtId="0" fontId="22" fillId="5" borderId="0" xfId="1" applyFont="1" applyFill="1" applyBorder="1" applyAlignment="1" applyProtection="1"/>
    <xf numFmtId="16" fontId="3" fillId="7" borderId="0" xfId="0" applyNumberFormat="1" applyFont="1" applyFill="1" applyAlignment="1" applyProtection="1">
      <alignment horizontal="left"/>
      <protection locked="0"/>
    </xf>
    <xf numFmtId="16" fontId="20" fillId="7" borderId="0" xfId="0" applyNumberFormat="1" applyFont="1" applyFill="1" applyAlignment="1" applyProtection="1">
      <alignment horizontal="left"/>
      <protection locked="0"/>
    </xf>
    <xf numFmtId="0" fontId="0" fillId="8" borderId="0" xfId="0" applyFill="1" applyAlignment="1">
      <alignment vertical="center" wrapText="1"/>
    </xf>
    <xf numFmtId="0" fontId="3" fillId="0" borderId="2" xfId="0" applyFont="1" applyBorder="1"/>
    <xf numFmtId="0" fontId="4" fillId="0" borderId="2" xfId="0" applyFont="1" applyBorder="1"/>
    <xf numFmtId="0" fontId="13" fillId="0" borderId="0" xfId="0" applyFont="1" applyAlignment="1">
      <alignment vertical="top" wrapText="1"/>
    </xf>
    <xf numFmtId="164" fontId="0" fillId="4" borderId="0" xfId="0" applyNumberFormat="1" applyFill="1" applyAlignment="1">
      <alignment horizontal="center" vertical="center"/>
    </xf>
    <xf numFmtId="0" fontId="4" fillId="4" borderId="0" xfId="0" applyFont="1" applyFill="1" applyAlignment="1">
      <alignment horizontal="left" vertical="center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9" xfId="0" applyFill="1" applyBorder="1"/>
    <xf numFmtId="0" fontId="0" fillId="4" borderId="8" xfId="0" applyFill="1" applyBorder="1"/>
    <xf numFmtId="0" fontId="0" fillId="4" borderId="0" xfId="0" applyFill="1"/>
    <xf numFmtId="0" fontId="13" fillId="5" borderId="0" xfId="0" applyFont="1" applyFill="1" applyAlignment="1">
      <alignment vertical="top" wrapText="1"/>
    </xf>
    <xf numFmtId="0" fontId="0" fillId="4" borderId="7" xfId="0" applyFill="1" applyBorder="1"/>
    <xf numFmtId="0" fontId="16" fillId="4" borderId="0" xfId="0" applyFont="1" applyFill="1" applyAlignment="1">
      <alignment vertical="top" wrapText="1"/>
    </xf>
    <xf numFmtId="0" fontId="16" fillId="4" borderId="0" xfId="0" applyFont="1" applyFill="1" applyAlignment="1">
      <alignment horizontal="right" vertical="top" wrapText="1"/>
    </xf>
    <xf numFmtId="0" fontId="13" fillId="4" borderId="0" xfId="0" applyFont="1" applyFill="1"/>
    <xf numFmtId="0" fontId="11" fillId="4" borderId="0" xfId="0" applyFont="1" applyFill="1"/>
    <xf numFmtId="0" fontId="0" fillId="5" borderId="7" xfId="0" applyFill="1" applyBorder="1"/>
    <xf numFmtId="0" fontId="12" fillId="4" borderId="0" xfId="0" applyFont="1" applyFill="1"/>
    <xf numFmtId="0" fontId="13" fillId="4" borderId="0" xfId="0" applyFont="1" applyFill="1" applyAlignment="1">
      <alignment horizontal="left" vertical="top" wrapText="1"/>
    </xf>
    <xf numFmtId="0" fontId="3" fillId="4" borderId="0" xfId="0" applyFont="1" applyFill="1" applyAlignment="1">
      <alignment vertical="top" wrapText="1"/>
    </xf>
    <xf numFmtId="0" fontId="4" fillId="4" borderId="0" xfId="0" applyFont="1" applyFill="1"/>
    <xf numFmtId="49" fontId="4" fillId="4" borderId="0" xfId="0" applyNumberFormat="1" applyFont="1" applyFill="1" applyAlignment="1">
      <alignment horizontal="right"/>
    </xf>
    <xf numFmtId="9" fontId="4" fillId="4" borderId="0" xfId="0" applyNumberFormat="1" applyFont="1" applyFill="1"/>
    <xf numFmtId="0" fontId="4" fillId="4" borderId="0" xfId="0" applyFont="1" applyFill="1" applyAlignment="1">
      <alignment vertical="top" wrapText="1"/>
    </xf>
    <xf numFmtId="9" fontId="4" fillId="4" borderId="0" xfId="0" applyNumberFormat="1" applyFont="1" applyFill="1" applyAlignment="1">
      <alignment vertical="top" wrapText="1"/>
    </xf>
    <xf numFmtId="0" fontId="4" fillId="4" borderId="0" xfId="0" applyFont="1" applyFill="1" applyAlignment="1">
      <alignment horizontal="right"/>
    </xf>
    <xf numFmtId="0" fontId="4" fillId="4" borderId="21" xfId="0" applyFont="1" applyFill="1" applyBorder="1" applyAlignment="1">
      <alignment vertical="center"/>
    </xf>
    <xf numFmtId="0" fontId="4" fillId="4" borderId="22" xfId="0" applyFont="1" applyFill="1" applyBorder="1" applyAlignment="1">
      <alignment vertical="center" wrapText="1"/>
    </xf>
    <xf numFmtId="0" fontId="4" fillId="4" borderId="23" xfId="0" applyFont="1" applyFill="1" applyBorder="1" applyAlignment="1">
      <alignment vertical="center" wrapText="1"/>
    </xf>
    <xf numFmtId="0" fontId="4" fillId="4" borderId="12" xfId="0" applyFont="1" applyFill="1" applyBorder="1"/>
    <xf numFmtId="0" fontId="0" fillId="4" borderId="13" xfId="0" applyFill="1" applyBorder="1"/>
    <xf numFmtId="0" fontId="0" fillId="4" borderId="14" xfId="0" applyFill="1" applyBorder="1"/>
    <xf numFmtId="0" fontId="0" fillId="5" borderId="11" xfId="0" applyFill="1" applyBorder="1"/>
    <xf numFmtId="0" fontId="0" fillId="4" borderId="5" xfId="0" applyFill="1" applyBorder="1"/>
    <xf numFmtId="0" fontId="15" fillId="6" borderId="2" xfId="0" applyFont="1" applyFill="1" applyBorder="1" applyProtection="1">
      <protection locked="0"/>
    </xf>
    <xf numFmtId="0" fontId="15" fillId="5" borderId="0" xfId="0" applyFont="1" applyFill="1" applyAlignment="1">
      <alignment vertical="top"/>
    </xf>
    <xf numFmtId="0" fontId="13" fillId="5" borderId="0" xfId="0" applyFont="1" applyFill="1" applyAlignment="1">
      <alignment vertical="top"/>
    </xf>
    <xf numFmtId="0" fontId="3" fillId="4" borderId="0" xfId="0" applyFont="1" applyFill="1" applyAlignment="1">
      <alignment horizontal="left" vertical="center"/>
    </xf>
    <xf numFmtId="0" fontId="22" fillId="4" borderId="0" xfId="1" applyFont="1" applyFill="1" applyBorder="1" applyAlignment="1" applyProtection="1">
      <alignment vertical="center"/>
    </xf>
    <xf numFmtId="0" fontId="4" fillId="4" borderId="25" xfId="0" applyFont="1" applyFill="1" applyBorder="1" applyAlignment="1">
      <alignment vertical="center" wrapText="1"/>
    </xf>
    <xf numFmtId="0" fontId="0" fillId="0" borderId="22" xfId="0" applyBorder="1"/>
    <xf numFmtId="0" fontId="4" fillId="0" borderId="24" xfId="0" applyFont="1" applyBorder="1"/>
    <xf numFmtId="0" fontId="0" fillId="5" borderId="17" xfId="0" applyFill="1" applyBorder="1"/>
    <xf numFmtId="0" fontId="0" fillId="5" borderId="6" xfId="0" applyFill="1" applyBorder="1"/>
    <xf numFmtId="0" fontId="6" fillId="2" borderId="1" xfId="0" applyFont="1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 applyProtection="1">
      <alignment horizontal="left" vertical="center"/>
      <protection locked="0"/>
    </xf>
    <xf numFmtId="0" fontId="19" fillId="0" borderId="2" xfId="0" applyFont="1" applyBorder="1"/>
    <xf numFmtId="0" fontId="19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26" fillId="0" borderId="0" xfId="0" applyFont="1" applyAlignment="1">
      <alignment horizontal="left"/>
    </xf>
    <xf numFmtId="0" fontId="3" fillId="9" borderId="0" xfId="0" applyFont="1" applyFill="1" applyAlignment="1">
      <alignment wrapText="1"/>
    </xf>
    <xf numFmtId="0" fontId="4" fillId="4" borderId="13" xfId="0" applyFont="1" applyFill="1" applyBorder="1" applyAlignment="1">
      <alignment horizontal="left" vertical="center" wrapText="1"/>
    </xf>
    <xf numFmtId="49" fontId="27" fillId="3" borderId="17" xfId="0" applyNumberFormat="1" applyFont="1" applyFill="1" applyBorder="1" applyAlignment="1" applyProtection="1">
      <alignment vertical="center"/>
      <protection locked="0"/>
    </xf>
    <xf numFmtId="16" fontId="4" fillId="7" borderId="0" xfId="0" applyNumberFormat="1" applyFont="1" applyFill="1" applyAlignment="1" applyProtection="1">
      <alignment horizontal="left"/>
      <protection locked="0"/>
    </xf>
    <xf numFmtId="16" fontId="3" fillId="7" borderId="0" xfId="0" applyNumberFormat="1" applyFont="1" applyFill="1" applyAlignment="1" applyProtection="1">
      <alignment horizontal="right"/>
      <protection locked="0"/>
    </xf>
    <xf numFmtId="16" fontId="20" fillId="7" borderId="0" xfId="0" applyNumberFormat="1" applyFont="1" applyFill="1" applyAlignment="1" applyProtection="1">
      <alignment horizontal="right"/>
      <protection locked="0"/>
    </xf>
    <xf numFmtId="0" fontId="0" fillId="5" borderId="26" xfId="0" applyFill="1" applyBorder="1"/>
    <xf numFmtId="16" fontId="0" fillId="4" borderId="0" xfId="0" applyNumberFormat="1" applyFill="1" applyAlignment="1">
      <alignment horizontal="center" vertical="center"/>
    </xf>
    <xf numFmtId="0" fontId="0" fillId="5" borderId="10" xfId="0" applyFill="1" applyBorder="1"/>
    <xf numFmtId="0" fontId="3" fillId="0" borderId="9" xfId="0" applyFont="1" applyBorder="1" applyAlignment="1">
      <alignment horizontal="left"/>
    </xf>
    <xf numFmtId="0" fontId="1" fillId="3" borderId="4" xfId="0" applyFont="1" applyFill="1" applyBorder="1" applyAlignment="1">
      <alignment horizontal="center"/>
    </xf>
    <xf numFmtId="16" fontId="6" fillId="2" borderId="15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16" fontId="5" fillId="3" borderId="15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49" fontId="0" fillId="4" borderId="11" xfId="0" applyNumberFormat="1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16" fontId="4" fillId="5" borderId="0" xfId="0" applyNumberFormat="1" applyFont="1" applyFill="1" applyAlignment="1">
      <alignment horizontal="left" vertical="center"/>
    </xf>
    <xf numFmtId="164" fontId="4" fillId="5" borderId="0" xfId="0" applyNumberFormat="1" applyFont="1" applyFill="1" applyAlignment="1">
      <alignment horizontal="left" vertical="center"/>
    </xf>
    <xf numFmtId="16" fontId="5" fillId="3" borderId="15" xfId="0" applyNumberFormat="1" applyFont="1" applyFill="1" applyBorder="1" applyAlignment="1">
      <alignment horizontal="left" vertical="center"/>
    </xf>
    <xf numFmtId="16" fontId="20" fillId="2" borderId="15" xfId="0" applyNumberFormat="1" applyFont="1" applyFill="1" applyBorder="1" applyAlignment="1">
      <alignment horizontal="center" vertical="center"/>
    </xf>
    <xf numFmtId="16" fontId="4" fillId="0" borderId="0" xfId="0" applyNumberFormat="1" applyFont="1" applyAlignment="1">
      <alignment horizontal="left" vertical="center"/>
    </xf>
    <xf numFmtId="0" fontId="1" fillId="4" borderId="8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5" fillId="4" borderId="7" xfId="0" applyFont="1" applyFill="1" applyBorder="1"/>
    <xf numFmtId="0" fontId="20" fillId="4" borderId="7" xfId="0" applyFont="1" applyFill="1" applyBorder="1"/>
    <xf numFmtId="0" fontId="2" fillId="3" borderId="9" xfId="0" applyFont="1" applyFill="1" applyBorder="1" applyAlignment="1">
      <alignment vertical="center"/>
    </xf>
    <xf numFmtId="0" fontId="14" fillId="3" borderId="9" xfId="0" applyFont="1" applyFill="1" applyBorder="1" applyAlignment="1">
      <alignment horizontal="left" vertical="center"/>
    </xf>
    <xf numFmtId="0" fontId="1" fillId="3" borderId="9" xfId="0" applyFont="1" applyFill="1" applyBorder="1" applyAlignment="1">
      <alignment horizontal="center" vertical="center"/>
    </xf>
    <xf numFmtId="16" fontId="4" fillId="4" borderId="11" xfId="0" applyNumberFormat="1" applyFont="1" applyFill="1" applyBorder="1" applyAlignment="1">
      <alignment horizontal="left" vertical="center"/>
    </xf>
    <xf numFmtId="164" fontId="4" fillId="4" borderId="11" xfId="0" applyNumberFormat="1" applyFont="1" applyFill="1" applyBorder="1" applyAlignment="1">
      <alignment horizontal="left" vertical="center"/>
    </xf>
    <xf numFmtId="0" fontId="4" fillId="4" borderId="11" xfId="0" applyFont="1" applyFill="1" applyBorder="1" applyAlignment="1">
      <alignment horizontal="left" vertical="center"/>
    </xf>
    <xf numFmtId="49" fontId="0" fillId="4" borderId="11" xfId="0" applyNumberFormat="1" applyFill="1" applyBorder="1" applyAlignment="1">
      <alignment vertical="center"/>
    </xf>
    <xf numFmtId="0" fontId="0" fillId="4" borderId="11" xfId="0" applyFill="1" applyBorder="1" applyAlignment="1">
      <alignment horizontal="center" vertical="center"/>
    </xf>
    <xf numFmtId="16" fontId="4" fillId="4" borderId="0" xfId="0" applyNumberFormat="1" applyFont="1" applyFill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13" fillId="4" borderId="0" xfId="0" applyFont="1" applyFill="1" applyAlignment="1">
      <alignment vertical="top" wrapText="1"/>
    </xf>
    <xf numFmtId="0" fontId="8" fillId="4" borderId="0" xfId="0" applyFont="1" applyFill="1" applyAlignment="1">
      <alignment horizontal="left" vertical="top" wrapText="1"/>
    </xf>
    <xf numFmtId="0" fontId="0" fillId="0" borderId="27" xfId="0" applyBorder="1"/>
    <xf numFmtId="165" fontId="19" fillId="0" borderId="2" xfId="0" applyNumberFormat="1" applyFont="1" applyBorder="1"/>
    <xf numFmtId="165" fontId="19" fillId="0" borderId="2" xfId="0" applyNumberFormat="1" applyFont="1" applyBorder="1" applyAlignment="1">
      <alignment horizontal="center"/>
    </xf>
    <xf numFmtId="165" fontId="0" fillId="0" borderId="2" xfId="0" applyNumberFormat="1" applyBorder="1"/>
    <xf numFmtId="0" fontId="0" fillId="0" borderId="0" xfId="0" applyAlignment="1">
      <alignment horizontal="right"/>
    </xf>
    <xf numFmtId="0" fontId="3" fillId="0" borderId="2" xfId="0" applyFont="1" applyBorder="1" applyAlignment="1">
      <alignment horizontal="center"/>
    </xf>
    <xf numFmtId="0" fontId="10" fillId="4" borderId="5" xfId="0" applyFont="1" applyFill="1" applyBorder="1" applyAlignment="1">
      <alignment horizontal="right"/>
    </xf>
    <xf numFmtId="0" fontId="8" fillId="4" borderId="15" xfId="0" applyFont="1" applyFill="1" applyBorder="1" applyAlignment="1" applyProtection="1">
      <alignment horizontal="left" vertical="top" wrapText="1"/>
      <protection locked="0"/>
    </xf>
    <xf numFmtId="0" fontId="8" fillId="4" borderId="1" xfId="0" applyFont="1" applyFill="1" applyBorder="1" applyAlignment="1" applyProtection="1">
      <alignment horizontal="left" vertical="top" wrapText="1"/>
      <protection locked="0"/>
    </xf>
    <xf numFmtId="0" fontId="8" fillId="4" borderId="3" xfId="0" applyFont="1" applyFill="1" applyBorder="1" applyAlignment="1" applyProtection="1">
      <alignment horizontal="left" vertical="top" wrapText="1"/>
      <protection locked="0"/>
    </xf>
    <xf numFmtId="0" fontId="8" fillId="5" borderId="15" xfId="0" applyFont="1" applyFill="1" applyBorder="1" applyAlignment="1" applyProtection="1">
      <alignment horizontal="left" vertical="center" wrapText="1"/>
      <protection locked="0"/>
    </xf>
    <xf numFmtId="0" fontId="8" fillId="5" borderId="1" xfId="0" applyFont="1" applyFill="1" applyBorder="1" applyAlignment="1" applyProtection="1">
      <alignment horizontal="left" vertical="center" wrapText="1"/>
      <protection locked="0"/>
    </xf>
    <xf numFmtId="0" fontId="8" fillId="5" borderId="3" xfId="0" applyFont="1" applyFill="1" applyBorder="1" applyAlignment="1" applyProtection="1">
      <alignment horizontal="left" vertical="center" wrapText="1"/>
      <protection locked="0"/>
    </xf>
    <xf numFmtId="0" fontId="14" fillId="3" borderId="0" xfId="0" applyFont="1" applyFill="1" applyAlignment="1">
      <alignment horizontal="center"/>
    </xf>
    <xf numFmtId="16" fontId="17" fillId="3" borderId="15" xfId="0" applyNumberFormat="1" applyFont="1" applyFill="1" applyBorder="1" applyAlignment="1">
      <alignment horizontal="left" vertical="center"/>
    </xf>
    <xf numFmtId="16" fontId="17" fillId="3" borderId="1" xfId="0" applyNumberFormat="1" applyFont="1" applyFill="1" applyBorder="1" applyAlignment="1">
      <alignment horizontal="left" vertical="center"/>
    </xf>
    <xf numFmtId="16" fontId="17" fillId="3" borderId="19" xfId="0" applyNumberFormat="1" applyFont="1" applyFill="1" applyBorder="1" applyAlignment="1">
      <alignment horizontal="left" vertical="center"/>
    </xf>
    <xf numFmtId="0" fontId="18" fillId="2" borderId="20" xfId="0" applyFont="1" applyFill="1" applyBorder="1" applyAlignment="1" applyProtection="1">
      <alignment horizontal="left" vertical="center"/>
      <protection locked="0"/>
    </xf>
    <xf numFmtId="0" fontId="18" fillId="2" borderId="1" xfId="0" applyFont="1" applyFill="1" applyBorder="1" applyAlignment="1" applyProtection="1">
      <alignment horizontal="left" vertical="center"/>
      <protection locked="0"/>
    </xf>
    <xf numFmtId="0" fontId="18" fillId="2" borderId="3" xfId="0" applyFont="1" applyFill="1" applyBorder="1" applyAlignment="1" applyProtection="1">
      <alignment horizontal="left" vertical="center"/>
      <protection locked="0"/>
    </xf>
    <xf numFmtId="0" fontId="15" fillId="4" borderId="0" xfId="0" applyFont="1" applyFill="1" applyAlignment="1">
      <alignment horizontal="left" vertical="top" wrapText="1"/>
    </xf>
    <xf numFmtId="0" fontId="9" fillId="3" borderId="9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left" vertical="top" wrapText="1"/>
    </xf>
    <xf numFmtId="0" fontId="11" fillId="3" borderId="9" xfId="0" applyFont="1" applyFill="1" applyBorder="1" applyAlignment="1">
      <alignment horizontal="center"/>
    </xf>
    <xf numFmtId="0" fontId="0" fillId="8" borderId="0" xfId="0" applyFill="1" applyAlignment="1">
      <alignment vertical="center" wrapText="1"/>
    </xf>
    <xf numFmtId="0" fontId="0" fillId="8" borderId="7" xfId="0" applyFill="1" applyBorder="1" applyAlignment="1">
      <alignment vertical="center" wrapText="1"/>
    </xf>
    <xf numFmtId="0" fontId="0" fillId="8" borderId="9" xfId="0" applyFill="1" applyBorder="1" applyAlignment="1">
      <alignment vertical="center" wrapText="1"/>
    </xf>
    <xf numFmtId="0" fontId="0" fillId="8" borderId="8" xfId="0" applyFill="1" applyBorder="1" applyAlignment="1">
      <alignment vertical="center" wrapText="1"/>
    </xf>
  </cellXfs>
  <cellStyles count="2">
    <cellStyle name="Hyperlink" xfId="1" builtinId="8"/>
    <cellStyle name="Standaard" xfId="0" builtinId="0"/>
  </cellStyles>
  <dxfs count="17">
    <dxf>
      <font>
        <b/>
        <i val="0"/>
        <condense val="0"/>
        <extend val="0"/>
        <color indexed="52"/>
      </font>
    </dxf>
    <dxf>
      <font>
        <b/>
        <i val="0"/>
        <condense val="0"/>
        <extend val="0"/>
        <color indexed="52"/>
      </font>
    </dxf>
    <dxf>
      <font>
        <b/>
        <i val="0"/>
        <condense val="0"/>
        <extend val="0"/>
        <color indexed="52"/>
      </font>
    </dxf>
    <dxf>
      <font>
        <b/>
        <i val="0"/>
        <condense val="0"/>
        <extend val="0"/>
        <color indexed="52"/>
      </font>
    </dxf>
    <dxf>
      <font>
        <b/>
        <i val="0"/>
        <condense val="0"/>
        <extend val="0"/>
        <color indexed="52"/>
      </font>
    </dxf>
    <dxf>
      <font>
        <b/>
        <i val="0"/>
        <condense val="0"/>
        <extend val="0"/>
        <color indexed="52"/>
      </font>
    </dxf>
    <dxf>
      <font>
        <b/>
        <i val="0"/>
        <condense val="0"/>
        <extend val="0"/>
        <color indexed="52"/>
      </font>
    </dxf>
    <dxf>
      <font>
        <b/>
        <i val="0"/>
        <condense val="0"/>
        <extend val="0"/>
        <color indexed="52"/>
      </font>
    </dxf>
    <dxf>
      <font>
        <b/>
        <i val="0"/>
        <condense val="0"/>
        <extend val="0"/>
        <color indexed="52"/>
      </font>
    </dxf>
    <dxf>
      <font>
        <b/>
        <i val="0"/>
        <condense val="0"/>
        <extend val="0"/>
        <color indexed="52"/>
      </font>
    </dxf>
    <dxf>
      <font>
        <b/>
        <i val="0"/>
        <condense val="0"/>
        <extend val="0"/>
        <color indexed="52"/>
      </font>
    </dxf>
    <dxf>
      <font>
        <b/>
        <i val="0"/>
        <condense val="0"/>
        <extend val="0"/>
        <color indexed="52"/>
      </font>
    </dxf>
    <dxf>
      <font>
        <b/>
        <i val="0"/>
        <condense val="0"/>
        <extend val="0"/>
        <color indexed="52"/>
      </font>
    </dxf>
    <dxf>
      <font>
        <b/>
        <i val="0"/>
        <condense val="0"/>
        <extend val="0"/>
        <color indexed="52"/>
      </font>
    </dxf>
    <dxf>
      <font>
        <b/>
        <i val="0"/>
        <condense val="0"/>
        <extend val="0"/>
        <color indexed="52"/>
      </font>
    </dxf>
    <dxf>
      <font>
        <b/>
        <i val="0"/>
        <condense val="0"/>
        <extend val="0"/>
        <color indexed="52"/>
      </font>
    </dxf>
    <dxf>
      <font>
        <b/>
        <i val="0"/>
        <condense val="0"/>
        <extend val="0"/>
        <color indexed="52"/>
      </font>
    </dxf>
  </dxfs>
  <tableStyles count="0" defaultTableStyle="TableStyleMedium9" defaultPivotStyle="PivotStyleLight16"/>
  <colors>
    <mruColors>
      <color rgb="FF97CE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5</xdr:colOff>
      <xdr:row>1</xdr:row>
      <xdr:rowOff>66677</xdr:rowOff>
    </xdr:from>
    <xdr:to>
      <xdr:col>21</xdr:col>
      <xdr:colOff>77610</xdr:colOff>
      <xdr:row>6</xdr:row>
      <xdr:rowOff>104136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4846FA20-8D66-1D17-EADC-167A4B2EB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63380" y="295277"/>
          <a:ext cx="687205" cy="9423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A1:BL108"/>
  <sheetViews>
    <sheetView showGridLines="0" showRowColHeaders="0" tabSelected="1" zoomScaleNormal="100" zoomScaleSheetLayoutView="100" workbookViewId="0">
      <selection activeCell="N10" sqref="N10:V10"/>
    </sheetView>
  </sheetViews>
  <sheetFormatPr defaultColWidth="0" defaultRowHeight="12.75" zeroHeight="1"/>
  <cols>
    <col min="1" max="1" width="4" customWidth="1"/>
    <col min="2" max="2" width="7.5703125" customWidth="1"/>
    <col min="3" max="3" width="6.5703125" customWidth="1"/>
    <col min="4" max="4" width="17.140625" customWidth="1"/>
    <col min="5" max="5" width="2.5703125" customWidth="1"/>
    <col min="6" max="6" width="17.140625" customWidth="1"/>
    <col min="7" max="7" width="6.85546875" customWidth="1"/>
    <col min="8" max="8" width="2.7109375" customWidth="1"/>
    <col min="9" max="9" width="6.85546875" customWidth="1"/>
    <col min="10" max="10" width="6.7109375" customWidth="1"/>
    <col min="11" max="11" width="6.5703125" customWidth="1"/>
    <col min="12" max="12" width="3.5703125" customWidth="1"/>
    <col min="13" max="13" width="49.28515625" customWidth="1"/>
    <col min="14" max="15" width="13.140625" customWidth="1"/>
    <col min="16" max="16" width="4.7109375" hidden="1" customWidth="1"/>
    <col min="17" max="17" width="9.140625" customWidth="1"/>
    <col min="18" max="18" width="9.140625" hidden="1" customWidth="1"/>
    <col min="19" max="19" width="2" customWidth="1"/>
    <col min="20" max="20" width="1.42578125" customWidth="1"/>
    <col min="21" max="21" width="9.140625" customWidth="1"/>
    <col min="22" max="22" width="2.7109375" customWidth="1"/>
    <col min="23" max="23" width="5.85546875" customWidth="1"/>
    <col min="24" max="24" width="0.7109375" customWidth="1"/>
    <col min="25" max="25" width="5.42578125" customWidth="1"/>
    <col min="26" max="26" width="2.28515625" style="4" hidden="1" customWidth="1"/>
    <col min="27" max="27" width="11.7109375" style="4" hidden="1" customWidth="1"/>
    <col min="28" max="33" width="9.28515625" style="4" hidden="1" customWidth="1"/>
    <col min="34" max="34" width="2.42578125" hidden="1" customWidth="1"/>
    <col min="35" max="36" width="11.5703125" hidden="1" customWidth="1"/>
    <col min="37" max="37" width="8.28515625" hidden="1" customWidth="1"/>
    <col min="38" max="38" width="11.42578125" hidden="1" customWidth="1"/>
    <col min="39" max="39" width="6" hidden="1" customWidth="1"/>
    <col min="40" max="40" width="8.7109375" hidden="1" customWidth="1"/>
    <col min="41" max="41" width="5.7109375" hidden="1" customWidth="1"/>
    <col min="42" max="42" width="9.28515625" hidden="1" customWidth="1"/>
    <col min="43" max="43" width="15.85546875" hidden="1" customWidth="1"/>
    <col min="44" max="44" width="11.85546875" hidden="1" customWidth="1"/>
    <col min="45" max="45" width="11.7109375" hidden="1" customWidth="1"/>
    <col min="46" max="46" width="11.85546875" hidden="1" customWidth="1"/>
    <col min="47" max="47" width="9.140625" hidden="1" customWidth="1"/>
    <col min="48" max="48" width="9.42578125" hidden="1" customWidth="1"/>
    <col min="49" max="49" width="9.140625" hidden="1" customWidth="1"/>
    <col min="50" max="50" width="16.28515625" hidden="1" customWidth="1"/>
    <col min="51" max="51" width="12.42578125" hidden="1" customWidth="1"/>
    <col min="52" max="52" width="10.85546875" hidden="1" customWidth="1"/>
    <col min="53" max="59" width="9.140625" hidden="1" customWidth="1"/>
    <col min="60" max="60" width="16.42578125" hidden="1" customWidth="1"/>
    <col min="61" max="61" width="9.140625" hidden="1" customWidth="1"/>
    <col min="62" max="62" width="9.140625" customWidth="1"/>
    <col min="63" max="63" width="1.7109375" hidden="1" customWidth="1"/>
    <col min="64" max="64" width="1.140625" hidden="1" customWidth="1"/>
    <col min="65" max="16384" width="0.42578125" hidden="1"/>
  </cols>
  <sheetData>
    <row r="1" spans="1:61" ht="18">
      <c r="A1" s="115"/>
      <c r="B1" s="194" t="str">
        <f>Groepsloting!$B$38</f>
        <v>EK 2024 Voetbalpool</v>
      </c>
      <c r="C1" s="194"/>
      <c r="D1" s="194"/>
      <c r="E1" s="194"/>
      <c r="F1" s="160" t="str">
        <f>IF(ISBLANK(N10),"",Groepsloting!$B$39)</f>
        <v/>
      </c>
      <c r="G1" s="161" t="str">
        <f>IF(ISBLANK(N10),"",$N$10)</f>
        <v/>
      </c>
      <c r="H1" s="148"/>
      <c r="I1" s="148"/>
      <c r="J1" s="162"/>
      <c r="K1" s="156"/>
      <c r="L1" s="80"/>
      <c r="M1" s="196" t="str">
        <f>Groepsloting!$B$92</f>
        <v>Inschrijfformulier</v>
      </c>
      <c r="N1" s="196"/>
      <c r="O1" s="196"/>
      <c r="P1" s="196"/>
      <c r="Q1" s="196"/>
      <c r="R1" s="196"/>
      <c r="S1" s="196"/>
      <c r="T1" s="196"/>
      <c r="U1" s="196"/>
      <c r="V1" s="196"/>
      <c r="W1" s="81"/>
      <c r="X1" s="82"/>
      <c r="Y1" s="82"/>
      <c r="Z1" s="12" t="s">
        <v>87</v>
      </c>
      <c r="AA1" s="12"/>
      <c r="AH1" s="4"/>
      <c r="AI1" s="4"/>
      <c r="AJ1" s="74" t="s">
        <v>55</v>
      </c>
      <c r="AK1" s="73"/>
      <c r="AL1" s="73"/>
      <c r="AM1" s="73"/>
      <c r="AN1" s="73"/>
      <c r="AO1" s="4"/>
      <c r="AP1" s="12" t="s">
        <v>57</v>
      </c>
      <c r="AQ1" s="4">
        <v>2</v>
      </c>
      <c r="AR1" s="4">
        <v>3</v>
      </c>
      <c r="AS1" s="4">
        <v>4</v>
      </c>
      <c r="AT1" s="4">
        <v>5</v>
      </c>
      <c r="AU1" s="4">
        <v>6</v>
      </c>
      <c r="AV1" s="4">
        <v>7</v>
      </c>
      <c r="AW1" s="4">
        <v>8</v>
      </c>
      <c r="AX1" s="4">
        <v>9</v>
      </c>
      <c r="AY1" s="4">
        <v>10</v>
      </c>
      <c r="AZ1" s="4">
        <v>11</v>
      </c>
    </row>
    <row r="2" spans="1:61" ht="14.25">
      <c r="A2" s="116"/>
      <c r="B2" s="163" t="s">
        <v>0</v>
      </c>
      <c r="C2" s="164"/>
      <c r="D2" s="165"/>
      <c r="E2" s="166"/>
      <c r="F2" s="165"/>
      <c r="G2" s="167" t="s">
        <v>0</v>
      </c>
      <c r="H2" s="149"/>
      <c r="I2" s="167"/>
      <c r="J2" s="167"/>
      <c r="K2" s="157"/>
      <c r="L2" s="82"/>
      <c r="M2" s="83"/>
      <c r="N2" s="83"/>
      <c r="O2" s="83"/>
      <c r="P2" s="83"/>
      <c r="Q2" s="83"/>
      <c r="R2" s="83"/>
      <c r="S2" s="83"/>
      <c r="T2" s="83"/>
      <c r="U2" s="83"/>
      <c r="V2" s="83"/>
      <c r="W2" s="84"/>
      <c r="X2" s="82"/>
      <c r="Y2" s="82"/>
      <c r="Z2" s="19"/>
      <c r="AA2" s="19" t="s">
        <v>1</v>
      </c>
      <c r="AB2" s="20" t="s">
        <v>18</v>
      </c>
      <c r="AC2" s="20" t="s">
        <v>19</v>
      </c>
      <c r="AD2" s="20" t="s">
        <v>20</v>
      </c>
      <c r="AE2" s="20" t="s">
        <v>21</v>
      </c>
      <c r="AF2" s="20" t="s">
        <v>22</v>
      </c>
      <c r="AG2" s="20" t="s">
        <v>338</v>
      </c>
      <c r="AH2" s="4"/>
      <c r="AI2" s="4" t="s">
        <v>66</v>
      </c>
      <c r="AJ2" s="74" t="s">
        <v>54</v>
      </c>
      <c r="AK2" s="74" t="s">
        <v>461</v>
      </c>
      <c r="AL2" s="74" t="s">
        <v>462</v>
      </c>
      <c r="AM2" s="74" t="s">
        <v>463</v>
      </c>
      <c r="AN2" s="74" t="s">
        <v>56</v>
      </c>
      <c r="AO2" s="4"/>
      <c r="AP2" s="124" t="s">
        <v>66</v>
      </c>
      <c r="AQ2" s="124"/>
      <c r="AR2" s="125" t="s">
        <v>58</v>
      </c>
      <c r="AS2" s="125" t="s">
        <v>65</v>
      </c>
      <c r="AT2" s="125" t="s">
        <v>62</v>
      </c>
      <c r="AU2" s="125" t="s">
        <v>63</v>
      </c>
      <c r="AV2" s="125" t="s">
        <v>64</v>
      </c>
      <c r="AW2" s="125" t="s">
        <v>59</v>
      </c>
      <c r="AX2" s="125" t="s">
        <v>60</v>
      </c>
      <c r="AY2" s="125" t="s">
        <v>61</v>
      </c>
      <c r="AZ2" s="125" t="s">
        <v>338</v>
      </c>
      <c r="BA2" s="124" t="s">
        <v>72</v>
      </c>
      <c r="BH2" s="4" t="s">
        <v>431</v>
      </c>
      <c r="BI2" t="s">
        <v>449</v>
      </c>
    </row>
    <row r="3" spans="1:61" ht="14.25" customHeight="1">
      <c r="A3" s="135"/>
      <c r="B3" s="144" t="str">
        <f>Groepsloting!$B$40</f>
        <v>Groep A</v>
      </c>
      <c r="C3" s="145"/>
      <c r="D3" s="146" t="str">
        <f>Groepsloting!$B$64</f>
        <v>Wedstrijd</v>
      </c>
      <c r="E3" s="147"/>
      <c r="F3" s="146"/>
      <c r="G3" s="146" t="str">
        <f>Groepsloting!$B$65</f>
        <v>Uitslag</v>
      </c>
      <c r="H3" s="146"/>
      <c r="I3" s="146"/>
      <c r="J3" s="170" t="str">
        <f>Groepsloting!$B$66</f>
        <v>Toto</v>
      </c>
      <c r="K3" s="157"/>
      <c r="M3" s="85" t="str">
        <f>Groepsloting!$B$93</f>
        <v>Deze gegevens moeten in ieder geval compleet zijn:</v>
      </c>
      <c r="N3" s="86" t="str">
        <f>Groepsloting!B198</f>
        <v>Taal:</v>
      </c>
      <c r="O3" s="107" t="s">
        <v>187</v>
      </c>
      <c r="P3" s="85"/>
      <c r="Q3" s="85"/>
      <c r="R3" s="85"/>
      <c r="S3" s="85"/>
      <c r="T3" s="85"/>
      <c r="U3" s="85"/>
      <c r="V3" s="85"/>
      <c r="W3" s="84"/>
      <c r="X3" s="82"/>
      <c r="Y3" s="82"/>
      <c r="Z3" s="15">
        <v>1</v>
      </c>
      <c r="AA3" s="16" t="str">
        <f t="shared" ref="AA3:AA5" si="0">VLOOKUP($Z3,$AP$3:$AY$6,AQ$1,0)</f>
        <v>Schotland</v>
      </c>
      <c r="AB3" s="16">
        <f t="shared" ref="AB3:AF6" si="1">VLOOKUP($Z3,$AP$3:$AY$6,AR$1,0)</f>
        <v>0</v>
      </c>
      <c r="AC3" s="16">
        <f t="shared" si="1"/>
        <v>0</v>
      </c>
      <c r="AD3" s="16">
        <f t="shared" si="1"/>
        <v>0</v>
      </c>
      <c r="AE3" s="16">
        <f t="shared" si="1"/>
        <v>0</v>
      </c>
      <c r="AF3" s="16">
        <f t="shared" si="1"/>
        <v>0</v>
      </c>
      <c r="AG3" s="16">
        <f>VLOOKUP($Z3,$AP$3:$BA$6,AZ$1,0)</f>
        <v>0</v>
      </c>
      <c r="AH3" s="17"/>
      <c r="AI3" s="4"/>
      <c r="AJ3" s="73" t="str">
        <f t="shared" ref="AJ3:AJ8" si="2">IF(G4="","",D4)</f>
        <v/>
      </c>
      <c r="AK3" s="73" t="str">
        <f>IF(Inschrijving!G4="","",IF(Inschrijving!G4&gt;Inschrijving!I4,1,0))</f>
        <v/>
      </c>
      <c r="AL3" s="73" t="str">
        <f>IF(Inschrijving!G4="","",IF(Inschrijving!G4&lt;Inschrijving!I4,1,0))</f>
        <v/>
      </c>
      <c r="AM3" s="73" t="str">
        <f>IF(Inschrijving!G4="","",IF(Inschrijving!G4=Inschrijving!I4,1,0))</f>
        <v/>
      </c>
      <c r="AN3" s="73" t="str">
        <f t="shared" ref="AN3:AN8" si="3">IF(I4="","",F4)</f>
        <v/>
      </c>
      <c r="AO3" s="4"/>
      <c r="AP3" s="124">
        <f>RANK(BA3,$BA$3:$BA$6,1)</f>
        <v>4</v>
      </c>
      <c r="AQ3" s="124" t="str">
        <f>Groepsloting!B2</f>
        <v>Duitsland</v>
      </c>
      <c r="AR3" s="125">
        <f>COUNTIF(AJ$1:AJ$52,AQ3)+COUNTIF(AN$1:AN$52,AQ3)</f>
        <v>0</v>
      </c>
      <c r="AS3" s="125">
        <f>AW3*3+AX3</f>
        <v>0</v>
      </c>
      <c r="AT3" s="125">
        <f>SUMIF($D$4:$D$9,AQ3,$G$4:$G$9)+SUMIF($F$4:$F$9,AQ3,$I$4:$I$9)</f>
        <v>0</v>
      </c>
      <c r="AU3" s="125">
        <f>SUMIF($D$4:$D$9,AQ3,$I$4:$I$9)+SUMIF($F$4:$F$9,AQ3,$G$4:$G$9)</f>
        <v>0</v>
      </c>
      <c r="AV3" s="125">
        <f>AT3-AU3</f>
        <v>0</v>
      </c>
      <c r="AW3" s="125">
        <f>SUMIF(AJ$1:AJ$52,AQ3,AK$1:AK$52)+SUMIF(AN$1:AN$52,AQ3,AL$1:AL$52)</f>
        <v>0</v>
      </c>
      <c r="AX3" s="125">
        <f>SUMIF(AJ$1:AJ$52,AQ3,AM$1:AM$52)+SUMIF(AN$1:AN$52,AQ3,AM$1:AM$52)</f>
        <v>0</v>
      </c>
      <c r="AY3" s="125">
        <f>AR3-SUM(AW3:AX3)</f>
        <v>0</v>
      </c>
      <c r="AZ3" s="126">
        <f>SUMIF($F$4:$F$9,AQ3,$I$4:$I$9)</f>
        <v>0</v>
      </c>
      <c r="BA3" s="124">
        <f>RANK(AS3,$AS$3:$AS$6)+RANK(AV3,$AV$3:$AV$6)/10+RANK(AT3,$AT$3:$AT$6,0)/100+RANK(AZ3,$AZ$3:$AZ$6,0)/1000+VLOOKUP(AQ3,$BG$3:$BH$26,2,0)/100000</f>
        <v>1.1113200000000001</v>
      </c>
      <c r="BF3" t="s">
        <v>1</v>
      </c>
      <c r="BG3" t="str">
        <f>Groepsloting!B169</f>
        <v>Italië</v>
      </c>
      <c r="BH3" s="4">
        <v>1</v>
      </c>
      <c r="BI3" s="4">
        <v>0</v>
      </c>
    </row>
    <row r="4" spans="1:61" ht="14.25" customHeight="1">
      <c r="A4" s="135">
        <v>1</v>
      </c>
      <c r="B4" s="140">
        <v>45457</v>
      </c>
      <c r="C4" s="141" t="s">
        <v>103</v>
      </c>
      <c r="D4" s="117" t="str">
        <f>Groepsloting!B2</f>
        <v>Duitsland</v>
      </c>
      <c r="E4" s="143" t="s">
        <v>5</v>
      </c>
      <c r="F4" s="117" t="str">
        <f>Groepsloting!B3</f>
        <v>Schotland</v>
      </c>
      <c r="G4" s="22"/>
      <c r="H4" s="150" t="s">
        <v>5</v>
      </c>
      <c r="I4" s="22"/>
      <c r="J4" s="24">
        <f t="shared" ref="J4:J9" si="4">IF(AND(G4="",I4=""),0,IF(G4&gt;I4,1,IF(G4&lt;I4,2,3)))</f>
        <v>0</v>
      </c>
      <c r="K4" s="84"/>
      <c r="L4" s="82"/>
      <c r="M4" s="83" t="str">
        <f>Groepsloting!$B$94</f>
        <v>• Persoonlijke gegevens (zie hieronder)</v>
      </c>
      <c r="N4" s="83"/>
      <c r="O4" s="83"/>
      <c r="P4" s="83"/>
      <c r="Q4" s="83"/>
      <c r="R4" s="83"/>
      <c r="S4" s="83"/>
      <c r="T4" s="83"/>
      <c r="U4" s="83"/>
      <c r="V4" s="83"/>
      <c r="W4" s="84"/>
      <c r="X4" s="82"/>
      <c r="Y4" s="82"/>
      <c r="Z4" s="15">
        <v>2</v>
      </c>
      <c r="AA4" s="16" t="str">
        <f t="shared" si="0"/>
        <v>Zwitserland</v>
      </c>
      <c r="AB4" s="16">
        <f t="shared" si="1"/>
        <v>0</v>
      </c>
      <c r="AC4" s="16">
        <f t="shared" si="1"/>
        <v>0</v>
      </c>
      <c r="AD4" s="16">
        <f t="shared" si="1"/>
        <v>0</v>
      </c>
      <c r="AE4" s="16">
        <f t="shared" si="1"/>
        <v>0</v>
      </c>
      <c r="AF4" s="16">
        <f t="shared" si="1"/>
        <v>0</v>
      </c>
      <c r="AG4" s="16">
        <f t="shared" ref="AG4:AG6" si="5">VLOOKUP($Z4,$AP$3:$BA$6,AZ$1,0)</f>
        <v>0</v>
      </c>
      <c r="AH4" s="17"/>
      <c r="AI4" s="4"/>
      <c r="AJ4" s="73" t="str">
        <f t="shared" si="2"/>
        <v/>
      </c>
      <c r="AK4" s="73" t="str">
        <f>IF(Inschrijving!G5="","",IF(Inschrijving!G5&gt;Inschrijving!I5,1,0))</f>
        <v/>
      </c>
      <c r="AL4" s="73" t="str">
        <f>IF(Inschrijving!G5="","",IF(Inschrijving!G5&lt;Inschrijving!I5,1,0))</f>
        <v/>
      </c>
      <c r="AM4" s="73" t="str">
        <f>IF(Inschrijving!G5="","",IF(Inschrijving!G5=Inschrijving!I5,1,0))</f>
        <v/>
      </c>
      <c r="AN4" s="73" t="str">
        <f t="shared" si="3"/>
        <v/>
      </c>
      <c r="AO4" s="4"/>
      <c r="AP4" s="124">
        <f>RANK(BA4,$BA$3:$BA$6,1)</f>
        <v>1</v>
      </c>
      <c r="AQ4" s="124" t="str">
        <f>Groepsloting!B3</f>
        <v>Schotland</v>
      </c>
      <c r="AR4" s="125">
        <f>COUNTIF(AJ$1:AJ$52,AQ4)+COUNTIF(AN$1:AN$52,AQ4)</f>
        <v>0</v>
      </c>
      <c r="AS4" s="125">
        <f>AW4*3+AX4</f>
        <v>0</v>
      </c>
      <c r="AT4" s="125">
        <f>SUMIF($D$4:$D$9,AQ4,$G$4:$G$9)+SUMIF($F$4:$F$9,AQ4,$I$4:$I$9)</f>
        <v>0</v>
      </c>
      <c r="AU4" s="125">
        <f>SUMIF($D$4:$D$9,AQ4,$I$4:$I$9)+SUMIF($F$4:$F$9,AQ4,$G$4:$G$9)</f>
        <v>0</v>
      </c>
      <c r="AV4" s="125">
        <f>AT4-AU4</f>
        <v>0</v>
      </c>
      <c r="AW4" s="125">
        <f>SUMIF(AJ$1:AJ$52,AQ4,AK$1:AK$52)+SUMIF(AN$1:AN$52,AQ4,AL$1:AL$52)</f>
        <v>0</v>
      </c>
      <c r="AX4" s="125">
        <f>SUMIF(AJ$1:AJ$52,AQ4,AM$1:AM$52)+SUMIF(AN$1:AN$52,AQ4,AM$1:AM$52)</f>
        <v>0</v>
      </c>
      <c r="AY4" s="125">
        <f>AR4-SUM(AW4:AX4)</f>
        <v>0</v>
      </c>
      <c r="AZ4" s="126">
        <f>SUMIF($F$4:$F$9,AQ4,$I$4:$I$9)</f>
        <v>0</v>
      </c>
      <c r="BA4" s="124">
        <f t="shared" ref="BA4:BA5" si="6">RANK(AS4,$AS$3:$AS$6)+RANK(AV4,$AV$3:$AV$6)/10+RANK(AT4,$AT$3:$AT$6,0)/100+RANK(AZ4,$AZ$3:$AZ$6,0)/1000+VLOOKUP(AQ4,$BG$3:$BH$26,2,0)/100000</f>
        <v>1.1111</v>
      </c>
      <c r="BF4" t="str">
        <f>AQ3</f>
        <v>Duitsland</v>
      </c>
      <c r="BG4" t="str">
        <f>Groepsloting!B167</f>
        <v>Spanje</v>
      </c>
      <c r="BH4" s="4">
        <v>12</v>
      </c>
      <c r="BI4" s="4">
        <v>1</v>
      </c>
    </row>
    <row r="5" spans="1:61" ht="14.25" customHeight="1">
      <c r="A5" s="135">
        <v>2</v>
      </c>
      <c r="B5" s="140">
        <v>45458</v>
      </c>
      <c r="C5" s="141" t="s">
        <v>336</v>
      </c>
      <c r="D5" s="117" t="str">
        <f>Groepsloting!B4</f>
        <v>Hongarije</v>
      </c>
      <c r="E5" s="143" t="s">
        <v>5</v>
      </c>
      <c r="F5" s="117" t="str">
        <f>Groepsloting!B5</f>
        <v>Zwitserland</v>
      </c>
      <c r="G5" s="22"/>
      <c r="H5" s="150" t="s">
        <v>5</v>
      </c>
      <c r="I5" s="22"/>
      <c r="J5" s="24">
        <f t="shared" si="4"/>
        <v>0</v>
      </c>
      <c r="K5" s="158"/>
      <c r="L5" s="82"/>
      <c r="M5" s="83" t="str">
        <f>Groepsloting!$B$95</f>
        <v>• Uitslagen wedstrijden (invulformulier links)</v>
      </c>
      <c r="N5" s="83"/>
      <c r="O5" s="83"/>
      <c r="P5" s="83"/>
      <c r="Q5" s="83"/>
      <c r="R5" s="83"/>
      <c r="S5" s="83"/>
      <c r="T5" s="83"/>
      <c r="U5" s="83"/>
      <c r="V5" s="83"/>
      <c r="W5" s="84"/>
      <c r="X5" s="82"/>
      <c r="Y5" s="82"/>
      <c r="Z5" s="15">
        <v>3</v>
      </c>
      <c r="AA5" s="16" t="str">
        <f t="shared" si="0"/>
        <v>Hongarije</v>
      </c>
      <c r="AB5" s="16">
        <f t="shared" si="1"/>
        <v>0</v>
      </c>
      <c r="AC5" s="16">
        <f t="shared" si="1"/>
        <v>0</v>
      </c>
      <c r="AD5" s="16">
        <f t="shared" si="1"/>
        <v>0</v>
      </c>
      <c r="AE5" s="16">
        <f t="shared" si="1"/>
        <v>0</v>
      </c>
      <c r="AF5" s="16">
        <f t="shared" si="1"/>
        <v>0</v>
      </c>
      <c r="AG5" s="16">
        <f t="shared" si="5"/>
        <v>0</v>
      </c>
      <c r="AH5" s="17"/>
      <c r="AI5" s="4"/>
      <c r="AJ5" s="73" t="str">
        <f t="shared" si="2"/>
        <v/>
      </c>
      <c r="AK5" s="73" t="str">
        <f>IF(Inschrijving!G6="","",IF(Inschrijving!G6&gt;Inschrijving!I6,1,0))</f>
        <v/>
      </c>
      <c r="AL5" s="73" t="str">
        <f>IF(Inschrijving!G6="","",IF(Inschrijving!G6&lt;Inschrijving!I6,1,0))</f>
        <v/>
      </c>
      <c r="AM5" s="73" t="str">
        <f>IF(Inschrijving!G6="","",IF(Inschrijving!G6=Inschrijving!I6,1,0))</f>
        <v/>
      </c>
      <c r="AN5" s="73" t="str">
        <f t="shared" si="3"/>
        <v/>
      </c>
      <c r="AO5" s="4"/>
      <c r="AP5" s="124">
        <f>RANK(BA5,$BA$3:$BA$6,1)</f>
        <v>3</v>
      </c>
      <c r="AQ5" s="124" t="str">
        <f>Groepsloting!B4</f>
        <v>Hongarije</v>
      </c>
      <c r="AR5" s="125">
        <f>COUNTIF(AJ$1:AJ$52,AQ5)+COUNTIF(AN$1:AN$52,AQ5)</f>
        <v>0</v>
      </c>
      <c r="AS5" s="125">
        <f>AW5*3+AX5</f>
        <v>0</v>
      </c>
      <c r="AT5" s="125">
        <f>SUMIF($D$4:$D$9,AQ5,$G$4:$G$9)+SUMIF($F$4:$F$9,AQ5,$I$4:$I$9)</f>
        <v>0</v>
      </c>
      <c r="AU5" s="125">
        <f>SUMIF($D$4:$D$9,AQ5,$I$4:$I$9)+SUMIF($F$4:$F$9,AQ5,$G$4:$G$9)</f>
        <v>0</v>
      </c>
      <c r="AV5" s="125">
        <f>AT5-AU5</f>
        <v>0</v>
      </c>
      <c r="AW5" s="125">
        <f>SUMIF(AJ$1:AJ$52,AQ5,AK$1:AK$52)+SUMIF(AN$1:AN$52,AQ5,AL$1:AL$52)</f>
        <v>0</v>
      </c>
      <c r="AX5" s="125">
        <f>SUMIF(AJ$1:AJ$52,AQ5,AM$1:AM$52)+SUMIF(AN$1:AN$52,AQ5,AM$1:AM$52)</f>
        <v>0</v>
      </c>
      <c r="AY5" s="125">
        <f>AR5-SUM(AW5:AX5)</f>
        <v>0</v>
      </c>
      <c r="AZ5" s="126">
        <f>SUMIF($F$4:$F$9,AQ5,$I$4:$I$9)</f>
        <v>0</v>
      </c>
      <c r="BA5" s="124">
        <f t="shared" si="6"/>
        <v>1.1111800000000001</v>
      </c>
      <c r="BF5" t="str">
        <f t="shared" ref="BF5:BF7" si="7">AQ4</f>
        <v>Schotland</v>
      </c>
      <c r="BG5" t="str">
        <f>Groepsloting!B186</f>
        <v>Tsjechië</v>
      </c>
      <c r="BH5" s="4">
        <v>13</v>
      </c>
      <c r="BI5" s="4">
        <v>2</v>
      </c>
    </row>
    <row r="6" spans="1:61" ht="14.25" customHeight="1">
      <c r="A6" s="135">
        <v>13</v>
      </c>
      <c r="B6" s="140">
        <v>45462</v>
      </c>
      <c r="C6" s="141" t="s">
        <v>337</v>
      </c>
      <c r="D6" s="117" t="str">
        <f>D4</f>
        <v>Duitsland</v>
      </c>
      <c r="E6" s="143" t="s">
        <v>5</v>
      </c>
      <c r="F6" s="117" t="str">
        <f>D5</f>
        <v>Hongarije</v>
      </c>
      <c r="G6" s="22"/>
      <c r="H6" s="150" t="s">
        <v>5</v>
      </c>
      <c r="I6" s="22"/>
      <c r="J6" s="119">
        <f t="shared" si="4"/>
        <v>0</v>
      </c>
      <c r="K6" s="158"/>
      <c r="L6" s="82"/>
      <c r="M6" s="83" t="str">
        <f>Groepsloting!$B$96</f>
        <v>• Detailvragen (zie hieronder)</v>
      </c>
      <c r="N6" s="83"/>
      <c r="O6" s="83"/>
      <c r="P6" s="83"/>
      <c r="Q6" s="83"/>
      <c r="R6" s="83"/>
      <c r="S6" s="83"/>
      <c r="T6" s="83"/>
      <c r="U6" s="83"/>
      <c r="V6" s="83"/>
      <c r="W6" s="84"/>
      <c r="X6" s="82"/>
      <c r="Y6" s="82"/>
      <c r="Z6" s="15">
        <v>4</v>
      </c>
      <c r="AA6" s="16" t="str">
        <f>VLOOKUP($Z6,$AP$3:$AY$6,AQ$1,0)</f>
        <v>Duitsland</v>
      </c>
      <c r="AB6" s="16">
        <f t="shared" si="1"/>
        <v>0</v>
      </c>
      <c r="AC6" s="16">
        <f t="shared" si="1"/>
        <v>0</v>
      </c>
      <c r="AD6" s="16">
        <f t="shared" si="1"/>
        <v>0</v>
      </c>
      <c r="AE6" s="16">
        <f t="shared" si="1"/>
        <v>0</v>
      </c>
      <c r="AF6" s="16">
        <f t="shared" si="1"/>
        <v>0</v>
      </c>
      <c r="AG6" s="16">
        <f t="shared" si="5"/>
        <v>0</v>
      </c>
      <c r="AH6" s="17"/>
      <c r="AI6" s="4"/>
      <c r="AJ6" s="73" t="str">
        <f t="shared" si="2"/>
        <v/>
      </c>
      <c r="AK6" s="73" t="str">
        <f>IF(Inschrijving!G7="","",IF(Inschrijving!G7&gt;Inschrijving!I7,1,0))</f>
        <v/>
      </c>
      <c r="AL6" s="73" t="str">
        <f>IF(Inschrijving!G7="","",IF(Inschrijving!G7&lt;Inschrijving!I7,1,0))</f>
        <v/>
      </c>
      <c r="AM6" s="73" t="str">
        <f>IF(Inschrijving!G7="","",IF(Inschrijving!G7=Inschrijving!I7,1,0))</f>
        <v/>
      </c>
      <c r="AN6" s="73" t="str">
        <f t="shared" si="3"/>
        <v/>
      </c>
      <c r="AO6" s="4"/>
      <c r="AP6" s="124">
        <f>RANK(BA6,$BA$3:$BA$6,1)</f>
        <v>2</v>
      </c>
      <c r="AQ6" s="124" t="str">
        <f>Groepsloting!B5</f>
        <v>Zwitserland</v>
      </c>
      <c r="AR6" s="125">
        <f>COUNTIF(AJ$1:AJ$52,AQ6)+COUNTIF(AN$1:AN$52,AQ6)</f>
        <v>0</v>
      </c>
      <c r="AS6" s="125">
        <f>AW6*3+AX6</f>
        <v>0</v>
      </c>
      <c r="AT6" s="125">
        <f>SUMIF($D$4:$D$9,AQ6,$G$4:$G$9)+SUMIF($F$4:$F$9,AQ6,$I$4:$I$9)</f>
        <v>0</v>
      </c>
      <c r="AU6" s="125">
        <f>SUMIF($D$4:$D$9,AQ6,$I$4:$I$9)+SUMIF($F$4:$F$9,AQ6,$G$4:$G$9)</f>
        <v>0</v>
      </c>
      <c r="AV6" s="125">
        <f>AT6-AU6</f>
        <v>0</v>
      </c>
      <c r="AW6" s="125">
        <f>SUMIF(AJ$1:AJ$52,AQ6,AK$1:AK$52)+SUMIF(AN$1:AN$52,AQ6,AL$1:AL$52)</f>
        <v>0</v>
      </c>
      <c r="AX6" s="125">
        <f>SUMIF(AJ$1:AJ$52,AQ6,AM$1:AM$52)+SUMIF(AN$1:AN$52,AQ6,AM$1:AM$52)</f>
        <v>0</v>
      </c>
      <c r="AY6" s="125">
        <f>AR6-SUM(AW6:AX6)</f>
        <v>0</v>
      </c>
      <c r="AZ6" s="126">
        <f>SUMIF($F$4:$F$9,AQ6,$I$4:$I$9)</f>
        <v>0</v>
      </c>
      <c r="BA6" s="124">
        <f>RANK(AS6,$AS$3:$AS$6)+RANK(AV6,$AV$3:$AV$6)/10+RANK(AT6,$AT$3:$AT$6,0)/100+RANK(AZ6,$AZ$3:$AZ$6,0)/1000+VLOOKUP(AQ6,$BG$3:$BH$26,2,0)/100000</f>
        <v>1.1111599999999999</v>
      </c>
      <c r="BF6" t="str">
        <f t="shared" si="7"/>
        <v>Hongarije</v>
      </c>
      <c r="BG6" t="str">
        <f>Groepsloting!B175</f>
        <v>Polen</v>
      </c>
      <c r="BH6" s="4">
        <v>4</v>
      </c>
      <c r="BI6" s="4">
        <v>3</v>
      </c>
    </row>
    <row r="7" spans="1:61" ht="14.25" customHeight="1">
      <c r="A7" s="135">
        <v>14</v>
      </c>
      <c r="B7" s="140">
        <v>45462</v>
      </c>
      <c r="C7" s="141" t="s">
        <v>103</v>
      </c>
      <c r="D7" s="117" t="str">
        <f>F4</f>
        <v>Schotland</v>
      </c>
      <c r="E7" s="143" t="s">
        <v>5</v>
      </c>
      <c r="F7" s="117" t="str">
        <f>F5</f>
        <v>Zwitserland</v>
      </c>
      <c r="G7" s="22"/>
      <c r="H7" s="150" t="s">
        <v>5</v>
      </c>
      <c r="I7" s="22"/>
      <c r="J7" s="120">
        <f t="shared" si="4"/>
        <v>0</v>
      </c>
      <c r="K7" s="84"/>
      <c r="L7" s="82"/>
      <c r="M7" s="87"/>
      <c r="N7" s="87"/>
      <c r="O7" s="87"/>
      <c r="P7" s="87"/>
      <c r="Q7" s="87"/>
      <c r="R7" s="87"/>
      <c r="S7" s="87"/>
      <c r="T7" s="87"/>
      <c r="U7" s="87"/>
      <c r="V7" s="87"/>
      <c r="W7" s="84"/>
      <c r="X7" s="82"/>
      <c r="Y7" s="82"/>
      <c r="AC7" s="18"/>
      <c r="AH7" s="4"/>
      <c r="AI7" s="4"/>
      <c r="AJ7" s="73" t="str">
        <f t="shared" si="2"/>
        <v/>
      </c>
      <c r="AK7" s="73" t="str">
        <f>IF(Inschrijving!G8="","",IF(Inschrijving!G8&gt;Inschrijving!I8,1,0))</f>
        <v/>
      </c>
      <c r="AL7" s="73" t="str">
        <f>IF(Inschrijving!G8="","",IF(Inschrijving!G8&lt;Inschrijving!I8,1,0))</f>
        <v/>
      </c>
      <c r="AM7" s="73" t="str">
        <f>IF(Inschrijving!G8="","",IF(Inschrijving!G8=Inschrijving!I8,1,0))</f>
        <v/>
      </c>
      <c r="AN7" s="73" t="str">
        <f t="shared" si="3"/>
        <v/>
      </c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F7" t="str">
        <f t="shared" si="7"/>
        <v>Zwitserland</v>
      </c>
      <c r="BG7" t="str">
        <f>Groepsloting!B168</f>
        <v>Kroatië</v>
      </c>
      <c r="BH7" s="4">
        <v>55</v>
      </c>
      <c r="BI7" s="4">
        <v>4</v>
      </c>
    </row>
    <row r="8" spans="1:61" ht="14.25" customHeight="1">
      <c r="A8" s="135">
        <v>26</v>
      </c>
      <c r="B8" s="140">
        <v>45466</v>
      </c>
      <c r="C8" s="141" t="s">
        <v>103</v>
      </c>
      <c r="D8" s="117" t="str">
        <f>F4</f>
        <v>Schotland</v>
      </c>
      <c r="E8" s="143" t="s">
        <v>5</v>
      </c>
      <c r="F8" s="117" t="str">
        <f>D5</f>
        <v>Hongarije</v>
      </c>
      <c r="G8" s="22"/>
      <c r="H8" s="150" t="s">
        <v>5</v>
      </c>
      <c r="I8" s="22"/>
      <c r="J8" s="120">
        <f>IF(AND(G8="",I8=""),0,IF(G8&gt;I8,1,IF(G8&lt;I8,2,3)))</f>
        <v>0</v>
      </c>
      <c r="K8" s="84"/>
      <c r="L8" s="82"/>
      <c r="M8" s="186" t="str">
        <f>Groepsloting!$B$97</f>
        <v>Persoonlijke gegevens</v>
      </c>
      <c r="N8" s="186"/>
      <c r="O8" s="186"/>
      <c r="P8" s="186"/>
      <c r="Q8" s="186"/>
      <c r="R8" s="186"/>
      <c r="S8" s="186"/>
      <c r="T8" s="186"/>
      <c r="U8" s="186"/>
      <c r="V8" s="186"/>
      <c r="W8" s="84"/>
      <c r="X8" s="82"/>
      <c r="Y8" s="82"/>
      <c r="AH8" s="4"/>
      <c r="AI8" s="4"/>
      <c r="AJ8" s="73" t="str">
        <f t="shared" si="2"/>
        <v/>
      </c>
      <c r="AK8" s="73" t="str">
        <f>IF(Inschrijving!G9="","",IF(Inschrijving!G9&gt;Inschrijving!I9,1,0))</f>
        <v/>
      </c>
      <c r="AL8" s="73" t="str">
        <f>IF(Inschrijving!G9="","",IF(Inschrijving!G9&lt;Inschrijving!I9,1,0))</f>
        <v/>
      </c>
      <c r="AM8" s="73" t="str">
        <f>IF(Inschrijving!G9="","",IF(Inschrijving!G9=Inschrijving!I9,1,0))</f>
        <v/>
      </c>
      <c r="AN8" s="73" t="str">
        <f t="shared" si="3"/>
        <v/>
      </c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G8" t="str">
        <f>Groepsloting!B185</f>
        <v>Portugal</v>
      </c>
      <c r="BH8" s="4">
        <v>2</v>
      </c>
      <c r="BI8" s="4">
        <v>5</v>
      </c>
    </row>
    <row r="9" spans="1:61" ht="14.25" customHeight="1">
      <c r="A9" s="135">
        <v>25</v>
      </c>
      <c r="B9" s="140">
        <v>45466</v>
      </c>
      <c r="C9" s="141" t="s">
        <v>103</v>
      </c>
      <c r="D9" s="117" t="str">
        <f>F5</f>
        <v>Zwitserland</v>
      </c>
      <c r="E9" s="143" t="s">
        <v>5</v>
      </c>
      <c r="F9" s="117" t="str">
        <f>D4</f>
        <v>Duitsland</v>
      </c>
      <c r="G9" s="22"/>
      <c r="H9" s="150" t="s">
        <v>5</v>
      </c>
      <c r="I9" s="22"/>
      <c r="J9" s="24">
        <f t="shared" si="4"/>
        <v>0</v>
      </c>
      <c r="K9" s="84"/>
      <c r="L9" s="82"/>
      <c r="M9" s="195"/>
      <c r="N9" s="195"/>
      <c r="O9" s="195"/>
      <c r="P9" s="195"/>
      <c r="Q9" s="195"/>
      <c r="R9" s="195"/>
      <c r="S9" s="195"/>
      <c r="T9" s="195"/>
      <c r="U9" s="195"/>
      <c r="V9" s="195"/>
      <c r="W9" s="84"/>
      <c r="X9" s="82"/>
      <c r="Y9" s="82"/>
      <c r="AH9" s="4"/>
      <c r="AI9" s="4"/>
      <c r="AJ9" s="73"/>
      <c r="AK9" s="73"/>
      <c r="AL9" s="73"/>
      <c r="AM9" s="73"/>
      <c r="AN9" s="73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F9" t="s">
        <v>6</v>
      </c>
      <c r="BG9" t="str">
        <f>Groepsloting!B183</f>
        <v>Turkije</v>
      </c>
      <c r="BH9" s="4">
        <v>40</v>
      </c>
      <c r="BI9" s="4">
        <v>6</v>
      </c>
    </row>
    <row r="10" spans="1:61" ht="14.25" customHeight="1">
      <c r="A10" s="116"/>
      <c r="B10" s="136"/>
      <c r="C10" s="76"/>
      <c r="D10" s="77"/>
      <c r="E10" s="78"/>
      <c r="F10" s="77"/>
      <c r="G10" s="79"/>
      <c r="H10" s="78"/>
      <c r="I10" s="79"/>
      <c r="J10" s="79"/>
      <c r="K10" s="84"/>
      <c r="L10" s="82"/>
      <c r="M10" s="83" t="str">
        <f>Groepsloting!$B$98</f>
        <v xml:space="preserve">Teamnaam*: </v>
      </c>
      <c r="N10" s="183"/>
      <c r="O10" s="184"/>
      <c r="P10" s="184"/>
      <c r="Q10" s="184"/>
      <c r="R10" s="184"/>
      <c r="S10" s="184"/>
      <c r="T10" s="184"/>
      <c r="U10" s="184"/>
      <c r="V10" s="185"/>
      <c r="W10" s="84"/>
      <c r="X10" s="82"/>
      <c r="Y10" s="82"/>
      <c r="Z10" s="19"/>
      <c r="AA10" s="19" t="s">
        <v>6</v>
      </c>
      <c r="AB10" s="20" t="s">
        <v>18</v>
      </c>
      <c r="AC10" s="20" t="s">
        <v>19</v>
      </c>
      <c r="AD10" s="20" t="s">
        <v>20</v>
      </c>
      <c r="AE10" s="20" t="s">
        <v>21</v>
      </c>
      <c r="AF10" s="20" t="s">
        <v>22</v>
      </c>
      <c r="AG10" s="20" t="s">
        <v>338</v>
      </c>
      <c r="AH10" s="17"/>
      <c r="AI10" s="4" t="s">
        <v>67</v>
      </c>
      <c r="AJ10" s="74" t="s">
        <v>54</v>
      </c>
      <c r="AK10" s="74"/>
      <c r="AL10" s="74"/>
      <c r="AM10" s="74"/>
      <c r="AN10" s="74" t="s">
        <v>56</v>
      </c>
      <c r="AO10" s="4"/>
      <c r="AP10" s="124" t="s">
        <v>67</v>
      </c>
      <c r="AQ10" s="124"/>
      <c r="AR10" s="125" t="s">
        <v>58</v>
      </c>
      <c r="AS10" s="125" t="s">
        <v>65</v>
      </c>
      <c r="AT10" s="125" t="s">
        <v>62</v>
      </c>
      <c r="AU10" s="125" t="s">
        <v>63</v>
      </c>
      <c r="AV10" s="125" t="s">
        <v>64</v>
      </c>
      <c r="AW10" s="125" t="s">
        <v>59</v>
      </c>
      <c r="AX10" s="125" t="s">
        <v>60</v>
      </c>
      <c r="AY10" s="125" t="s">
        <v>61</v>
      </c>
      <c r="AZ10" s="125" t="s">
        <v>338</v>
      </c>
      <c r="BA10" s="124" t="s">
        <v>72</v>
      </c>
      <c r="BF10" t="str">
        <f>AQ11</f>
        <v>Spanje</v>
      </c>
      <c r="BG10" t="str">
        <f>Groepsloting!B164</f>
        <v>Schotland</v>
      </c>
      <c r="BH10" s="4">
        <v>10</v>
      </c>
      <c r="BI10" s="4">
        <v>7</v>
      </c>
    </row>
    <row r="11" spans="1:61" ht="14.25" customHeight="1">
      <c r="A11" s="135"/>
      <c r="B11" s="144" t="str">
        <f>Groepsloting!$B$43</f>
        <v>Groep B</v>
      </c>
      <c r="C11" s="145"/>
      <c r="D11" s="146" t="str">
        <f>Groepsloting!$B$64</f>
        <v>Wedstrijd</v>
      </c>
      <c r="E11" s="147"/>
      <c r="F11" s="146"/>
      <c r="G11" s="146" t="str">
        <f>Groepsloting!$B$65</f>
        <v>Uitslag</v>
      </c>
      <c r="H11" s="146"/>
      <c r="I11" s="146"/>
      <c r="J11" s="170" t="str">
        <f>Groepsloting!$B$66</f>
        <v>Toto</v>
      </c>
      <c r="K11" s="84"/>
      <c r="L11" s="82"/>
      <c r="M11" s="83" t="str">
        <f>Groepsloting!$B$100</f>
        <v xml:space="preserve">Voornaam*: </v>
      </c>
      <c r="N11" s="183"/>
      <c r="O11" s="184"/>
      <c r="P11" s="184"/>
      <c r="Q11" s="184"/>
      <c r="R11" s="184"/>
      <c r="S11" s="184"/>
      <c r="T11" s="184"/>
      <c r="U11" s="184"/>
      <c r="V11" s="185"/>
      <c r="W11" s="84"/>
      <c r="X11" s="82"/>
      <c r="Y11" s="82"/>
      <c r="Z11" s="15">
        <v>1</v>
      </c>
      <c r="AA11" s="16" t="str">
        <f t="shared" ref="AA11:AF14" si="8">VLOOKUP($Z11,$AP$11:$AY$14,AQ$1,0)</f>
        <v>Italië</v>
      </c>
      <c r="AB11" s="16">
        <f t="shared" si="8"/>
        <v>0</v>
      </c>
      <c r="AC11" s="16">
        <f t="shared" si="8"/>
        <v>0</v>
      </c>
      <c r="AD11" s="16">
        <f t="shared" si="8"/>
        <v>0</v>
      </c>
      <c r="AE11" s="16">
        <f t="shared" si="8"/>
        <v>0</v>
      </c>
      <c r="AF11" s="16">
        <f t="shared" si="8"/>
        <v>0</v>
      </c>
      <c r="AG11" s="16">
        <f>VLOOKUP($Z11,$AP$11:$BA$14,AZ$1,0)</f>
        <v>0</v>
      </c>
      <c r="AH11" s="17"/>
      <c r="AI11" s="4"/>
      <c r="AJ11" s="73" t="str">
        <f>IF(Inschrijving!G12="","",Inschrijving!D12)</f>
        <v/>
      </c>
      <c r="AK11" s="73" t="str">
        <f>IF(Inschrijving!G12="","",IF(Inschrijving!G12&gt;Inschrijving!I12,1,0))</f>
        <v/>
      </c>
      <c r="AL11" s="73" t="str">
        <f>IF(Inschrijving!G12="","",IF(Inschrijving!G12&lt;Inschrijving!I12,1,0))</f>
        <v/>
      </c>
      <c r="AM11" s="73" t="str">
        <f>IF(Inschrijving!G12="","",IF(Inschrijving!G12=Inschrijving!I12,1,0))</f>
        <v/>
      </c>
      <c r="AN11" s="73" t="str">
        <f t="shared" ref="AN11:AN16" si="9">IF(I12="","",F12)</f>
        <v/>
      </c>
      <c r="AO11" s="4"/>
      <c r="AP11" s="124">
        <f>RANK(BA11,$BA$11:$BA$14,1)</f>
        <v>2</v>
      </c>
      <c r="AQ11" s="124" t="str">
        <f>Groepsloting!B8</f>
        <v>Spanje</v>
      </c>
      <c r="AR11" s="125">
        <f>COUNTIF(AJ$1:AJ$52,AQ11)+COUNTIF(AN$1:AN$52,AQ11)</f>
        <v>0</v>
      </c>
      <c r="AS11" s="125">
        <f>AW11*3+AX11</f>
        <v>0</v>
      </c>
      <c r="AT11" s="125">
        <f>SUMIF($D$12:$D$17,AQ11,$G$12:$G$17)+SUMIF($F$12:$F$17,AQ11,$I$12:$I$17)</f>
        <v>0</v>
      </c>
      <c r="AU11" s="125">
        <f>SUMIF($D$12:$D$17,AQ11,$I$12:$I$17)+SUMIF($F$12:$F$17,AQ11,$G$12:$G$17)</f>
        <v>0</v>
      </c>
      <c r="AV11" s="125">
        <f>AT11-AU11</f>
        <v>0</v>
      </c>
      <c r="AW11" s="125">
        <f>SUMIF(AJ$1:AJ$52,AQ11,AK$1:AK$52)+SUMIF(AN$1:AN$52,AQ11,AL$1:AL$52)</f>
        <v>0</v>
      </c>
      <c r="AX11" s="125">
        <f>SUMIF(AJ$1:AJ$52,AQ11,AM$1:AM$52)+SUMIF(AN$1:AN$52,AQ11,AM$1:AM$52)</f>
        <v>0</v>
      </c>
      <c r="AY11" s="125">
        <f>AR11-SUM(AW11:AX11)</f>
        <v>0</v>
      </c>
      <c r="AZ11" s="125">
        <f>SUMIF($F$12:$F$17,AQ11,$I$12:$I$17)</f>
        <v>0</v>
      </c>
      <c r="BA11" s="124">
        <f>RANK(AS11,$AS$11:$AS$14)+RANK(AV11,$AV$11:$AV$14,0)/10+RANK(AT11,$AT$11:$AT$14,0)/100+RANK(AZ11,$AZ$11:$AZ$14,0)/1000++VLOOKUP(AQ11,$BG$3:$BH$26,2,0)/100000</f>
        <v>1.1111199999999999</v>
      </c>
      <c r="BF11" t="str">
        <f t="shared" ref="BF11:BF13" si="10">AQ12</f>
        <v>Kroatië</v>
      </c>
      <c r="BG11" t="str">
        <f>Groepsloting!B176</f>
        <v>Nederland</v>
      </c>
      <c r="BH11" s="4">
        <v>11</v>
      </c>
      <c r="BI11" s="4">
        <v>8</v>
      </c>
    </row>
    <row r="12" spans="1:61" ht="14.25" customHeight="1">
      <c r="A12" s="135">
        <v>3</v>
      </c>
      <c r="B12" s="140">
        <v>45458</v>
      </c>
      <c r="C12" s="141" t="s">
        <v>337</v>
      </c>
      <c r="D12" s="142" t="str">
        <f>Groepsloting!$B$8</f>
        <v>Spanje</v>
      </c>
      <c r="E12" s="143" t="s">
        <v>5</v>
      </c>
      <c r="F12" s="142" t="str">
        <f>Groepsloting!B9</f>
        <v>Kroatië</v>
      </c>
      <c r="G12" s="22"/>
      <c r="H12" s="150" t="s">
        <v>5</v>
      </c>
      <c r="I12" s="22"/>
      <c r="J12" s="24">
        <f t="shared" ref="J12:J17" si="11">IF(AND(G12="",I12=""),0,IF(G12&gt;I12,1,IF(G12&lt;I12,2,3)))</f>
        <v>0</v>
      </c>
      <c r="K12" s="84"/>
      <c r="L12" s="82"/>
      <c r="M12" s="83" t="str">
        <f>Groepsloting!$B$101</f>
        <v>Tussenvoegsel*:</v>
      </c>
      <c r="N12" s="183"/>
      <c r="O12" s="184"/>
      <c r="P12" s="184"/>
      <c r="Q12" s="184"/>
      <c r="R12" s="184"/>
      <c r="S12" s="184"/>
      <c r="T12" s="184"/>
      <c r="U12" s="184"/>
      <c r="V12" s="185"/>
      <c r="W12" s="84"/>
      <c r="X12" s="82"/>
      <c r="Y12" s="82"/>
      <c r="Z12" s="15">
        <v>2</v>
      </c>
      <c r="AA12" s="16" t="str">
        <f t="shared" si="8"/>
        <v>Spanje</v>
      </c>
      <c r="AB12" s="16">
        <f t="shared" si="8"/>
        <v>0</v>
      </c>
      <c r="AC12" s="16">
        <f t="shared" si="8"/>
        <v>0</v>
      </c>
      <c r="AD12" s="16">
        <f t="shared" si="8"/>
        <v>0</v>
      </c>
      <c r="AE12" s="16">
        <f t="shared" si="8"/>
        <v>0</v>
      </c>
      <c r="AF12" s="16">
        <f t="shared" si="8"/>
        <v>0</v>
      </c>
      <c r="AG12" s="16">
        <f>VLOOKUP($Z12,$AP$11:$BA$14,AZ$1,0)</f>
        <v>0</v>
      </c>
      <c r="AH12" s="17"/>
      <c r="AI12" s="4"/>
      <c r="AJ12" s="73" t="str">
        <f>IF(Inschrijving!G13="","",Inschrijving!D13)</f>
        <v/>
      </c>
      <c r="AK12" s="73" t="str">
        <f>IF(Inschrijving!G13="","",IF(Inschrijving!G13&gt;Inschrijving!I13,1,0))</f>
        <v/>
      </c>
      <c r="AL12" s="73" t="str">
        <f>IF(Inschrijving!G13="","",IF(Inschrijving!G13&lt;Inschrijving!I13,1,0))</f>
        <v/>
      </c>
      <c r="AM12" s="73" t="str">
        <f>IF(Inschrijving!G13="","",IF(Inschrijving!G13=Inschrijving!I13,1,0))</f>
        <v/>
      </c>
      <c r="AN12" s="73" t="str">
        <f t="shared" si="9"/>
        <v/>
      </c>
      <c r="AO12" s="4"/>
      <c r="AP12" s="124">
        <f>RANK(BA12,$BA$11:$BA$14,1)</f>
        <v>4</v>
      </c>
      <c r="AQ12" s="124" t="str">
        <f>Groepsloting!B9</f>
        <v>Kroatië</v>
      </c>
      <c r="AR12" s="125">
        <f>COUNTIF(AJ$1:AJ$52,AQ12)+COUNTIF(AN$1:AN$52,AQ12)</f>
        <v>0</v>
      </c>
      <c r="AS12" s="125">
        <f>AW12*3+AX12</f>
        <v>0</v>
      </c>
      <c r="AT12" s="125">
        <f>SUMIF($D$12:$D$17,AQ12,$G$12:$G$17)+SUMIF($F$12:$F$17,AQ12,$I$12:$I$17)</f>
        <v>0</v>
      </c>
      <c r="AU12" s="125">
        <f>SUMIF($D$12:$D$17,AQ12,$I$12:$I$17)+SUMIF($F$12:$F$17,AQ12,$G$12:$G$17)</f>
        <v>0</v>
      </c>
      <c r="AV12" s="125">
        <f>AT12-AU12</f>
        <v>0</v>
      </c>
      <c r="AW12" s="125">
        <f>SUMIF(AJ$1:AJ$52,AQ12,AK$1:AK$52)+SUMIF(AN$1:AN$52,AQ12,AL$1:AL$52)</f>
        <v>0</v>
      </c>
      <c r="AX12" s="125">
        <f>SUMIF(AJ$1:AJ$52,AQ12,AM$1:AM$52)+SUMIF(AN$1:AN$52,AQ12,AM$1:AM$52)</f>
        <v>0</v>
      </c>
      <c r="AY12" s="125">
        <f>AR12-SUM(AW12:AX12)</f>
        <v>0</v>
      </c>
      <c r="AZ12" s="125">
        <f>SUMIF($F$12:$F$17,AQ12,$I$12:$I$17)</f>
        <v>0</v>
      </c>
      <c r="BA12" s="124">
        <f t="shared" ref="BA12:BA14" si="12">RANK(AS12,$AS$11:$AS$14)+RANK(AV12,$AV$11:$AV$14,0)/10+RANK(AT12,$AT$11:$AT$14,0)/100+RANK(AZ12,$AZ$11:$AZ$14,0)/1000++VLOOKUP(AQ12,$BG$3:$BH$26,2,0)/100000</f>
        <v>1.11155</v>
      </c>
      <c r="BF12" t="str">
        <f t="shared" si="10"/>
        <v>Italië</v>
      </c>
      <c r="BG12" t="str">
        <f>Groepsloting!B173</f>
        <v>Servië</v>
      </c>
      <c r="BH12" s="4">
        <v>14</v>
      </c>
      <c r="BI12" s="4">
        <v>9</v>
      </c>
    </row>
    <row r="13" spans="1:61" ht="14.25" customHeight="1">
      <c r="A13" s="135">
        <v>4</v>
      </c>
      <c r="B13" s="140">
        <v>45458</v>
      </c>
      <c r="C13" s="141" t="s">
        <v>103</v>
      </c>
      <c r="D13" s="142" t="str">
        <f>Groepsloting!B10</f>
        <v>Italië</v>
      </c>
      <c r="E13" s="143" t="s">
        <v>5</v>
      </c>
      <c r="F13" s="142" t="str">
        <f>Groepsloting!B11</f>
        <v>Albanië</v>
      </c>
      <c r="G13" s="22"/>
      <c r="H13" s="150" t="s">
        <v>5</v>
      </c>
      <c r="I13" s="22"/>
      <c r="J13" s="24">
        <f t="shared" si="11"/>
        <v>0</v>
      </c>
      <c r="K13" s="158"/>
      <c r="L13" s="82"/>
      <c r="M13" s="83" t="str">
        <f>Groepsloting!$B$102</f>
        <v>Achternaam*:</v>
      </c>
      <c r="N13" s="183"/>
      <c r="O13" s="184"/>
      <c r="P13" s="184"/>
      <c r="Q13" s="184"/>
      <c r="R13" s="184"/>
      <c r="S13" s="184"/>
      <c r="T13" s="184"/>
      <c r="U13" s="184"/>
      <c r="V13" s="185"/>
      <c r="W13" s="84"/>
      <c r="X13" s="82"/>
      <c r="Y13" s="82"/>
      <c r="Z13" s="15">
        <v>3</v>
      </c>
      <c r="AA13" s="16" t="str">
        <f t="shared" si="8"/>
        <v>Albanië</v>
      </c>
      <c r="AB13" s="16">
        <f t="shared" si="8"/>
        <v>0</v>
      </c>
      <c r="AC13" s="16">
        <f t="shared" si="8"/>
        <v>0</v>
      </c>
      <c r="AD13" s="16">
        <f t="shared" si="8"/>
        <v>0</v>
      </c>
      <c r="AE13" s="16">
        <f t="shared" si="8"/>
        <v>0</v>
      </c>
      <c r="AF13" s="16">
        <f t="shared" si="8"/>
        <v>0</v>
      </c>
      <c r="AG13" s="16">
        <f>VLOOKUP($Z13,$AP$11:$BA$14,AZ$1,0)</f>
        <v>0</v>
      </c>
      <c r="AH13" s="4"/>
      <c r="AI13" s="4"/>
      <c r="AJ13" s="73" t="str">
        <f>IF(Inschrijving!G14="","",Inschrijving!D14)</f>
        <v/>
      </c>
      <c r="AK13" s="73" t="str">
        <f>IF(Inschrijving!G14="","",IF(Inschrijving!G14&gt;Inschrijving!I14,1,0))</f>
        <v/>
      </c>
      <c r="AL13" s="73" t="str">
        <f>IF(Inschrijving!G14="","",IF(Inschrijving!G14&lt;Inschrijving!I14,1,0))</f>
        <v/>
      </c>
      <c r="AM13" s="73" t="str">
        <f>IF(Inschrijving!G14="","",IF(Inschrijving!G14=Inschrijving!I14,1,0))</f>
        <v/>
      </c>
      <c r="AN13" s="73" t="str">
        <f t="shared" si="9"/>
        <v/>
      </c>
      <c r="AO13" s="4"/>
      <c r="AP13" s="124">
        <f>RANK(BA13,$BA$11:$BA$14,1)</f>
        <v>1</v>
      </c>
      <c r="AQ13" s="124" t="str">
        <f>Groepsloting!B10</f>
        <v>Italië</v>
      </c>
      <c r="AR13" s="125">
        <f>COUNTIF(AJ$1:AJ$52,AQ13)+COUNTIF(AN$1:AN$52,AQ13)</f>
        <v>0</v>
      </c>
      <c r="AS13" s="125">
        <f>AW13*3+AX13</f>
        <v>0</v>
      </c>
      <c r="AT13" s="125">
        <f>SUMIF($D$12:$D$17,AQ13,$G$12:$G$17)+SUMIF($F$12:$F$17,AQ13,$I$12:$I$17)</f>
        <v>0</v>
      </c>
      <c r="AU13" s="125">
        <f>SUMIF($D$12:$D$17,AQ13,$I$12:$I$17)+SUMIF($F$12:$F$17,AQ13,$G$12:$G$17)</f>
        <v>0</v>
      </c>
      <c r="AV13" s="125">
        <f>AT13-AU13</f>
        <v>0</v>
      </c>
      <c r="AW13" s="125">
        <f>SUMIF(AJ$1:AJ$52,AQ13,AK$1:AK$52)+SUMIF(AN$1:AN$52,AQ13,AL$1:AL$52)</f>
        <v>0</v>
      </c>
      <c r="AX13" s="125">
        <f>SUMIF(AJ$1:AJ$52,AQ13,AM$1:AM$52)+SUMIF(AN$1:AN$52,AQ13,AM$1:AM$52)</f>
        <v>0</v>
      </c>
      <c r="AY13" s="125">
        <f>AR13-SUM(AW13:AX13)</f>
        <v>0</v>
      </c>
      <c r="AZ13" s="125">
        <f>SUMIF($F$12:$F$17,AQ13,$I$12:$I$17)</f>
        <v>0</v>
      </c>
      <c r="BA13" s="124">
        <f t="shared" si="12"/>
        <v>1.1110100000000001</v>
      </c>
      <c r="BF13" t="str">
        <f t="shared" si="10"/>
        <v>Albanië</v>
      </c>
      <c r="BG13" t="str">
        <f>Groepsloting!B172</f>
        <v>Denemarken</v>
      </c>
      <c r="BH13" s="4">
        <v>65</v>
      </c>
      <c r="BI13" s="4">
        <v>10</v>
      </c>
    </row>
    <row r="14" spans="1:61" ht="14.25" customHeight="1">
      <c r="A14" s="135">
        <v>15</v>
      </c>
      <c r="B14" s="140">
        <v>45462</v>
      </c>
      <c r="C14" s="141" t="s">
        <v>336</v>
      </c>
      <c r="D14" s="142" t="str">
        <f>F12</f>
        <v>Kroatië</v>
      </c>
      <c r="E14" s="143" t="s">
        <v>5</v>
      </c>
      <c r="F14" s="142" t="str">
        <f>F13</f>
        <v>Albanië</v>
      </c>
      <c r="G14" s="22"/>
      <c r="H14" s="150" t="s">
        <v>5</v>
      </c>
      <c r="I14" s="22"/>
      <c r="J14" s="119">
        <f>IF(AND(G14="",I14=""),0,IF(G14&gt;I14,1,IF(G14&lt;I14,2,3)))</f>
        <v>0</v>
      </c>
      <c r="K14" s="84"/>
      <c r="L14" s="82"/>
      <c r="M14" s="83" t="str">
        <f>Groepsloting!$B$103</f>
        <v>Adres:</v>
      </c>
      <c r="N14" s="183"/>
      <c r="O14" s="184"/>
      <c r="P14" s="184"/>
      <c r="Q14" s="184"/>
      <c r="R14" s="184"/>
      <c r="S14" s="184"/>
      <c r="T14" s="184"/>
      <c r="U14" s="184"/>
      <c r="V14" s="185"/>
      <c r="W14" s="84"/>
      <c r="X14" s="82"/>
      <c r="Y14" s="82"/>
      <c r="Z14" s="15">
        <v>4</v>
      </c>
      <c r="AA14" s="16" t="str">
        <f t="shared" si="8"/>
        <v>Kroatië</v>
      </c>
      <c r="AB14" s="16">
        <f t="shared" si="8"/>
        <v>0</v>
      </c>
      <c r="AC14" s="16">
        <f t="shared" si="8"/>
        <v>0</v>
      </c>
      <c r="AD14" s="16">
        <f t="shared" si="8"/>
        <v>0</v>
      </c>
      <c r="AE14" s="16">
        <f t="shared" si="8"/>
        <v>0</v>
      </c>
      <c r="AF14" s="16">
        <f t="shared" si="8"/>
        <v>0</v>
      </c>
      <c r="AG14" s="16">
        <f>VLOOKUP($Z14,$AP$11:$BA$14,AZ$1,0)</f>
        <v>0</v>
      </c>
      <c r="AH14" s="4"/>
      <c r="AI14" s="4"/>
      <c r="AJ14" s="73" t="str">
        <f>IF(Inschrijving!G15="","",Inschrijving!D15)</f>
        <v/>
      </c>
      <c r="AK14" s="73" t="str">
        <f>IF(Inschrijving!G15="","",IF(Inschrijving!G15&gt;Inschrijving!I15,1,0))</f>
        <v/>
      </c>
      <c r="AL14" s="73" t="str">
        <f>IF(Inschrijving!G15="","",IF(Inschrijving!G15&lt;Inschrijving!I15,1,0))</f>
        <v/>
      </c>
      <c r="AM14" s="73" t="str">
        <f>IF(Inschrijving!G15="","",IF(Inschrijving!G15=Inschrijving!I15,1,0))</f>
        <v/>
      </c>
      <c r="AN14" s="73" t="str">
        <f t="shared" si="9"/>
        <v/>
      </c>
      <c r="AO14" s="4"/>
      <c r="AP14" s="124">
        <f>RANK(BA14,$BA$11:$BA$14,1)</f>
        <v>3</v>
      </c>
      <c r="AQ14" s="124" t="str">
        <f>Groepsloting!B11</f>
        <v>Albanië</v>
      </c>
      <c r="AR14" s="125">
        <f>COUNTIF(AJ$1:AJ$52,AQ14)+COUNTIF(AN$1:AN$52,AQ14)</f>
        <v>0</v>
      </c>
      <c r="AS14" s="125">
        <f>AW14*3+AX14</f>
        <v>0</v>
      </c>
      <c r="AT14" s="125">
        <f>SUMIF($D$12:$D$17,AQ14,$G$12:$G$17)+SUMIF($F$12:$F$17,AQ14,$I$12:$I$17)</f>
        <v>0</v>
      </c>
      <c r="AU14" s="125">
        <f>SUMIF($D$12:$D$17,AQ14,$I$12:$I$17)+SUMIF($F$12:$F$17,AQ14,$G$12:$G$17)</f>
        <v>0</v>
      </c>
      <c r="AV14" s="125">
        <f>AT14-AU14</f>
        <v>0</v>
      </c>
      <c r="AW14" s="125">
        <f>SUMIF(AJ$1:AJ$52,AQ14,AK$1:AK$52)+SUMIF(AN$1:AN$52,AQ14,AL$1:AL$52)</f>
        <v>0</v>
      </c>
      <c r="AX14" s="125">
        <f>SUMIF(AJ$1:AJ$52,AQ14,AM$1:AM$52)+SUMIF(AN$1:AN$52,AQ14,AM$1:AM$52)</f>
        <v>0</v>
      </c>
      <c r="AY14" s="125">
        <f>AR14-SUM(AW14:AX14)</f>
        <v>0</v>
      </c>
      <c r="AZ14" s="125">
        <f>SUMIF($F$12:$F$17,AQ14,$I$12:$I$17)</f>
        <v>0</v>
      </c>
      <c r="BA14" s="124">
        <f t="shared" si="12"/>
        <v>1.1113899999999999</v>
      </c>
      <c r="BG14" t="str">
        <f>Groepsloting!B174</f>
        <v>Engeland</v>
      </c>
      <c r="BH14" s="4">
        <v>24</v>
      </c>
      <c r="BI14" s="4">
        <v>11</v>
      </c>
    </row>
    <row r="15" spans="1:61" ht="14.25" customHeight="1">
      <c r="A15" s="135">
        <v>16</v>
      </c>
      <c r="B15" s="140">
        <v>45463</v>
      </c>
      <c r="C15" s="141" t="s">
        <v>103</v>
      </c>
      <c r="D15" s="142" t="str">
        <f>D12</f>
        <v>Spanje</v>
      </c>
      <c r="E15" s="143" t="s">
        <v>5</v>
      </c>
      <c r="F15" s="142" t="str">
        <f>D13</f>
        <v>Italië</v>
      </c>
      <c r="G15" s="22"/>
      <c r="H15" s="150" t="s">
        <v>5</v>
      </c>
      <c r="I15" s="22"/>
      <c r="J15" s="120">
        <f t="shared" si="11"/>
        <v>0</v>
      </c>
      <c r="K15" s="84"/>
      <c r="L15" s="82"/>
      <c r="M15" s="83" t="str">
        <f>Groepsloting!$B$104</f>
        <v>Woonplaats:</v>
      </c>
      <c r="N15" s="183"/>
      <c r="O15" s="184"/>
      <c r="P15" s="184"/>
      <c r="Q15" s="184"/>
      <c r="R15" s="184"/>
      <c r="S15" s="184"/>
      <c r="T15" s="184"/>
      <c r="U15" s="184"/>
      <c r="V15" s="185"/>
      <c r="W15" s="84"/>
      <c r="X15" s="82"/>
      <c r="Y15" s="82"/>
      <c r="AH15" s="4"/>
      <c r="AI15" s="4"/>
      <c r="AJ15" s="73" t="str">
        <f>IF(Inschrijving!G16="","",Inschrijving!D16)</f>
        <v/>
      </c>
      <c r="AK15" s="73" t="str">
        <f>IF(Inschrijving!G16="","",IF(Inschrijving!G16&gt;Inschrijving!I16,1,0))</f>
        <v/>
      </c>
      <c r="AL15" s="73" t="str">
        <f>IF(Inschrijving!G16="","",IF(Inschrijving!G16&lt;Inschrijving!I16,1,0))</f>
        <v/>
      </c>
      <c r="AM15" s="73" t="str">
        <f>IF(Inschrijving!G16="","",IF(Inschrijving!G16=Inschrijving!I16,1,0))</f>
        <v/>
      </c>
      <c r="AN15" s="73" t="str">
        <f t="shared" si="9"/>
        <v/>
      </c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F15" t="s">
        <v>7</v>
      </c>
      <c r="BG15" t="str">
        <f>Groepsloting!B171</f>
        <v>Slovenië</v>
      </c>
      <c r="BH15" s="4">
        <v>23</v>
      </c>
      <c r="BI15" s="4">
        <v>12</v>
      </c>
    </row>
    <row r="16" spans="1:61" ht="14.25" customHeight="1">
      <c r="A16" s="135">
        <v>28</v>
      </c>
      <c r="B16" s="140">
        <v>45467</v>
      </c>
      <c r="C16" s="141" t="s">
        <v>103</v>
      </c>
      <c r="D16" s="142" t="str">
        <f>F12</f>
        <v>Kroatië</v>
      </c>
      <c r="E16" s="143" t="s">
        <v>5</v>
      </c>
      <c r="F16" s="142" t="str">
        <f>D13</f>
        <v>Italië</v>
      </c>
      <c r="G16" s="22"/>
      <c r="H16" s="150" t="s">
        <v>5</v>
      </c>
      <c r="I16" s="22"/>
      <c r="J16" s="120">
        <f>IF(AND(G16="",I16=""),0,IF(G16&gt;I16,1,IF(G16&lt;I16,2,3)))</f>
        <v>0</v>
      </c>
      <c r="K16" s="84"/>
      <c r="L16" s="82"/>
      <c r="M16" s="83" t="str">
        <f>Groepsloting!$B$105</f>
        <v>Telefoonnummer:</v>
      </c>
      <c r="N16" s="183"/>
      <c r="O16" s="184"/>
      <c r="P16" s="184"/>
      <c r="Q16" s="184"/>
      <c r="R16" s="184"/>
      <c r="S16" s="184"/>
      <c r="T16" s="184"/>
      <c r="U16" s="184"/>
      <c r="V16" s="185"/>
      <c r="W16" s="84"/>
      <c r="X16" s="82"/>
      <c r="Y16" s="82"/>
      <c r="AH16" s="4"/>
      <c r="AI16" s="4"/>
      <c r="AJ16" s="73" t="str">
        <f>IF(Inschrijving!G17="","",Inschrijving!D17)</f>
        <v/>
      </c>
      <c r="AK16" s="73" t="str">
        <f>IF(Inschrijving!G17="","",IF(Inschrijving!G17&gt;Inschrijving!I17,1,0))</f>
        <v/>
      </c>
      <c r="AL16" s="73" t="str">
        <f>IF(Inschrijving!G17="","",IF(Inschrijving!G17&lt;Inschrijving!I17,1,0))</f>
        <v/>
      </c>
      <c r="AM16" s="73" t="str">
        <f>IF(Inschrijving!G17="","",IF(Inschrijving!G17=Inschrijving!I17,1,0))</f>
        <v/>
      </c>
      <c r="AN16" s="73" t="str">
        <f t="shared" si="9"/>
        <v/>
      </c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F16" t="str">
        <f>AQ19</f>
        <v>Slovenië</v>
      </c>
      <c r="BG16" t="str">
        <f>Groepsloting!B179</f>
        <v>België</v>
      </c>
      <c r="BH16" s="4">
        <v>19</v>
      </c>
      <c r="BI16" s="4">
        <v>13</v>
      </c>
    </row>
    <row r="17" spans="1:61" ht="14.25" customHeight="1">
      <c r="A17" s="135">
        <v>27</v>
      </c>
      <c r="B17" s="140">
        <v>45467</v>
      </c>
      <c r="C17" s="141" t="s">
        <v>103</v>
      </c>
      <c r="D17" s="142" t="str">
        <f>F13</f>
        <v>Albanië</v>
      </c>
      <c r="E17" s="143" t="s">
        <v>5</v>
      </c>
      <c r="F17" s="142" t="str">
        <f>D12</f>
        <v>Spanje</v>
      </c>
      <c r="G17" s="22"/>
      <c r="H17" s="150" t="s">
        <v>5</v>
      </c>
      <c r="I17" s="22"/>
      <c r="J17" s="24">
        <f t="shared" si="11"/>
        <v>0</v>
      </c>
      <c r="K17" s="84"/>
      <c r="L17" s="82"/>
      <c r="M17" s="83" t="str">
        <f>Groepsloting!$B$106</f>
        <v xml:space="preserve">E-mail*: </v>
      </c>
      <c r="N17" s="183"/>
      <c r="O17" s="184"/>
      <c r="P17" s="184"/>
      <c r="Q17" s="184"/>
      <c r="R17" s="184"/>
      <c r="S17" s="184"/>
      <c r="T17" s="184"/>
      <c r="U17" s="184"/>
      <c r="V17" s="185"/>
      <c r="W17" s="84"/>
      <c r="X17" s="82"/>
      <c r="Y17" s="82"/>
      <c r="AH17" s="4"/>
      <c r="AI17" s="4"/>
      <c r="AJ17" s="73"/>
      <c r="AK17" s="73"/>
      <c r="AL17" s="73"/>
      <c r="AM17" s="73"/>
      <c r="AN17" s="73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F17" t="str">
        <f t="shared" ref="BF17:BF19" si="13">AQ20</f>
        <v>Denemarken</v>
      </c>
      <c r="BG17" t="str">
        <f>Groepsloting!B184</f>
        <v>Georgië</v>
      </c>
      <c r="BH17" s="4">
        <v>5</v>
      </c>
      <c r="BI17" s="4">
        <v>14</v>
      </c>
    </row>
    <row r="18" spans="1:61" ht="14.25" customHeight="1">
      <c r="A18" s="116"/>
      <c r="B18" s="136"/>
      <c r="C18" s="76"/>
      <c r="D18" s="77"/>
      <c r="E18" s="78"/>
      <c r="F18" s="77"/>
      <c r="G18" s="79"/>
      <c r="H18" s="78"/>
      <c r="I18" s="79"/>
      <c r="J18" s="79"/>
      <c r="K18" s="84"/>
      <c r="L18" s="82"/>
      <c r="M18" s="195"/>
      <c r="N18" s="195"/>
      <c r="O18" s="195"/>
      <c r="P18" s="195"/>
      <c r="Q18" s="195"/>
      <c r="R18" s="195"/>
      <c r="S18" s="195"/>
      <c r="T18" s="195"/>
      <c r="U18" s="195"/>
      <c r="V18" s="195"/>
      <c r="W18" s="84"/>
      <c r="X18" s="82"/>
      <c r="Y18" s="82"/>
      <c r="Z18" s="19"/>
      <c r="AA18" s="19" t="s">
        <v>7</v>
      </c>
      <c r="AB18" s="20" t="s">
        <v>18</v>
      </c>
      <c r="AC18" s="20" t="s">
        <v>19</v>
      </c>
      <c r="AD18" s="20" t="s">
        <v>20</v>
      </c>
      <c r="AE18" s="20" t="s">
        <v>21</v>
      </c>
      <c r="AF18" s="20" t="s">
        <v>22</v>
      </c>
      <c r="AG18" s="20" t="s">
        <v>338</v>
      </c>
      <c r="AH18" s="17"/>
      <c r="AI18" s="4" t="s">
        <v>68</v>
      </c>
      <c r="AJ18" s="74" t="s">
        <v>54</v>
      </c>
      <c r="AK18" s="74"/>
      <c r="AL18" s="74"/>
      <c r="AM18" s="74"/>
      <c r="AN18" s="74" t="s">
        <v>56</v>
      </c>
      <c r="AO18" s="4"/>
      <c r="AP18" s="124" t="s">
        <v>68</v>
      </c>
      <c r="AQ18" s="124"/>
      <c r="AR18" s="125" t="s">
        <v>58</v>
      </c>
      <c r="AS18" s="125" t="s">
        <v>65</v>
      </c>
      <c r="AT18" s="125" t="s">
        <v>62</v>
      </c>
      <c r="AU18" s="125" t="s">
        <v>63</v>
      </c>
      <c r="AV18" s="125" t="s">
        <v>64</v>
      </c>
      <c r="AW18" s="125" t="s">
        <v>59</v>
      </c>
      <c r="AX18" s="125" t="s">
        <v>60</v>
      </c>
      <c r="AY18" s="125" t="s">
        <v>61</v>
      </c>
      <c r="AZ18" s="125" t="s">
        <v>338</v>
      </c>
      <c r="BA18" s="124" t="s">
        <v>72</v>
      </c>
      <c r="BF18" t="str">
        <f t="shared" si="13"/>
        <v>Servië</v>
      </c>
      <c r="BG18" t="str">
        <f>Groepsloting!B170</f>
        <v>Albanië</v>
      </c>
      <c r="BH18" s="4">
        <v>39</v>
      </c>
      <c r="BI18" s="4">
        <v>15</v>
      </c>
    </row>
    <row r="19" spans="1:61" ht="14.25" customHeight="1">
      <c r="A19" s="135"/>
      <c r="B19" s="144" t="str">
        <f>Groepsloting!$B$46</f>
        <v>Groep C</v>
      </c>
      <c r="C19" s="145"/>
      <c r="D19" s="146" t="str">
        <f>Groepsloting!$B$64</f>
        <v>Wedstrijd</v>
      </c>
      <c r="E19" s="147"/>
      <c r="F19" s="146"/>
      <c r="G19" s="146" t="str">
        <f>Groepsloting!$B$65</f>
        <v>Uitslag</v>
      </c>
      <c r="H19" s="146"/>
      <c r="I19" s="146"/>
      <c r="J19" s="170" t="str">
        <f>Groepsloting!$B$66</f>
        <v>Toto</v>
      </c>
      <c r="K19" s="84"/>
      <c r="L19" s="82"/>
      <c r="M19" s="186" t="str">
        <f>Groepsloting!$B$108</f>
        <v>Bonus detailvragen</v>
      </c>
      <c r="N19" s="186"/>
      <c r="O19" s="186"/>
      <c r="P19" s="186"/>
      <c r="Q19" s="186"/>
      <c r="R19" s="186"/>
      <c r="S19" s="186"/>
      <c r="T19" s="186"/>
      <c r="U19" s="186"/>
      <c r="V19" s="186"/>
      <c r="W19" s="84"/>
      <c r="X19" s="82"/>
      <c r="Y19" s="82"/>
      <c r="Z19" s="15">
        <v>1</v>
      </c>
      <c r="AA19" s="16" t="str">
        <f t="shared" ref="AA19:AF22" si="14">VLOOKUP($Z19,$AP$19:$AY$22,AQ$1,0)</f>
        <v>Servië</v>
      </c>
      <c r="AB19" s="16">
        <f t="shared" si="14"/>
        <v>0</v>
      </c>
      <c r="AC19" s="16">
        <f t="shared" si="14"/>
        <v>0</v>
      </c>
      <c r="AD19" s="16">
        <f t="shared" si="14"/>
        <v>0</v>
      </c>
      <c r="AE19" s="16">
        <f t="shared" si="14"/>
        <v>0</v>
      </c>
      <c r="AF19" s="16">
        <f t="shared" si="14"/>
        <v>0</v>
      </c>
      <c r="AG19" s="16">
        <f>VLOOKUP($Z19,$AP$19:$BA$22,AZ$1,0)</f>
        <v>0</v>
      </c>
      <c r="AH19" s="4"/>
      <c r="AI19" s="4"/>
      <c r="AJ19" s="73" t="str">
        <f>IF(Inschrijving!G20="","",Inschrijving!D20)</f>
        <v/>
      </c>
      <c r="AK19" s="73" t="str">
        <f>IF(Inschrijving!G20="","",IF(Inschrijving!G20&gt;Inschrijving!I20,1,0))</f>
        <v/>
      </c>
      <c r="AL19" s="73" t="str">
        <f>IF(Inschrijving!G20="","",IF(Inschrijving!G20&lt;Inschrijving!I20,1,0))</f>
        <v/>
      </c>
      <c r="AM19" s="73" t="str">
        <f>IF(Inschrijving!G20="","",IF(Inschrijving!G20=Inschrijving!I20,1,0))</f>
        <v/>
      </c>
      <c r="AN19" s="73" t="str">
        <f>IF(Inschrijving!I20="","",Inschrijving!F20)</f>
        <v/>
      </c>
      <c r="AO19" s="4"/>
      <c r="AP19" s="124">
        <f>RANK(BA19,$BA$19:$BA$22,1)</f>
        <v>2</v>
      </c>
      <c r="AQ19" s="124" t="str">
        <f>Groepsloting!B14</f>
        <v>Slovenië</v>
      </c>
      <c r="AR19" s="125">
        <f>COUNTIF(AJ$1:AJ$52,AQ19)+COUNTIF(AN$1:AN$52,AQ19)</f>
        <v>0</v>
      </c>
      <c r="AS19" s="125">
        <f>AW19*3+AX19</f>
        <v>0</v>
      </c>
      <c r="AT19" s="125">
        <f>SUMIF($D$20:$D$25,AQ19,$G$20:$G$25)+SUMIF($F$20:$F$25,AQ19,$I$20:$I$25)</f>
        <v>0</v>
      </c>
      <c r="AU19" s="125">
        <f>SUMIF($D$20:$D$25,AQ19,$I$20:$I$25)+SUMIF($F$20:$F$25,AQ19,$G$20:$G$25)</f>
        <v>0</v>
      </c>
      <c r="AV19" s="125">
        <f>AT19-AU19</f>
        <v>0</v>
      </c>
      <c r="AW19" s="125">
        <f>SUMIF(AJ$1:AJ$52,AQ19,AK$1:AK$52)+SUMIF(AN$1:AN$52,AQ19,AL$1:AL$52)</f>
        <v>0</v>
      </c>
      <c r="AX19" s="125">
        <f>SUMIF(AJ$1:AJ$52,AQ19,AM$1:AM$52)+SUMIF(AN$1:AN$52,AQ19,AM$1:AM$52)</f>
        <v>0</v>
      </c>
      <c r="AY19" s="125">
        <f>AR19-SUM(AW19:AX19)</f>
        <v>0</v>
      </c>
      <c r="AZ19" s="127">
        <f>SUMIF($F$20:$F$25,AQ19,$I$20:$I$25)</f>
        <v>0</v>
      </c>
      <c r="BA19" s="124">
        <f>RANK(AS19,$AS$19:$AS$22)+RANK(AV19,$AV$19:$AV$22,0)/10+RANK(AT19,$AT$19:$AT$22,0)/100+RANK(AZ19,$AZ$19:$AZ$22,0)/1000+VLOOKUP(AQ19,$BG$3:$BH$26,2,0)/100000</f>
        <v>1.1112299999999999</v>
      </c>
      <c r="BF19" t="str">
        <f t="shared" si="13"/>
        <v>Engeland</v>
      </c>
      <c r="BG19" t="str">
        <f>Groepsloting!B177</f>
        <v>Oostenrijk</v>
      </c>
      <c r="BH19" s="4">
        <v>48</v>
      </c>
    </row>
    <row r="20" spans="1:61" ht="14.25" customHeight="1">
      <c r="A20" s="135">
        <v>6</v>
      </c>
      <c r="B20" s="140">
        <v>45459</v>
      </c>
      <c r="C20" s="141" t="s">
        <v>337</v>
      </c>
      <c r="D20" s="142" t="str">
        <f>Groepsloting!B14</f>
        <v>Slovenië</v>
      </c>
      <c r="E20" s="143" t="s">
        <v>5</v>
      </c>
      <c r="F20" s="142" t="str">
        <f>Groepsloting!B15</f>
        <v>Denemarken</v>
      </c>
      <c r="G20" s="22"/>
      <c r="H20" s="150" t="s">
        <v>5</v>
      </c>
      <c r="I20" s="22"/>
      <c r="J20" s="24">
        <f t="shared" ref="J20:J25" si="15">IF(AND(G20="",I20=""),0,IF(G20&gt;I20,1,IF(G20&lt;I20,2,3)))</f>
        <v>0</v>
      </c>
      <c r="K20" s="84"/>
      <c r="L20" s="88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89"/>
      <c r="X20" s="82"/>
      <c r="Y20" s="82"/>
      <c r="Z20" s="15">
        <v>2</v>
      </c>
      <c r="AA20" s="16" t="str">
        <f t="shared" si="14"/>
        <v>Slovenië</v>
      </c>
      <c r="AB20" s="16">
        <f t="shared" si="14"/>
        <v>0</v>
      </c>
      <c r="AC20" s="16">
        <f t="shared" si="14"/>
        <v>0</v>
      </c>
      <c r="AD20" s="16">
        <f t="shared" si="14"/>
        <v>0</v>
      </c>
      <c r="AE20" s="16">
        <f t="shared" si="14"/>
        <v>0</v>
      </c>
      <c r="AF20" s="16">
        <f t="shared" si="14"/>
        <v>0</v>
      </c>
      <c r="AG20" s="16">
        <f>VLOOKUP($Z20,$AP$19:$BA$22,AZ$1,0)</f>
        <v>0</v>
      </c>
      <c r="AH20" s="4"/>
      <c r="AI20" s="4"/>
      <c r="AJ20" s="73" t="str">
        <f>IF(Inschrijving!G21="","",Inschrijving!D21)</f>
        <v/>
      </c>
      <c r="AK20" s="73" t="str">
        <f>IF(Inschrijving!G21="","",IF(Inschrijving!G21&gt;Inschrijving!I21,1,0))</f>
        <v/>
      </c>
      <c r="AL20" s="73" t="str">
        <f>IF(Inschrijving!G21="","",IF(Inschrijving!G21&lt;Inschrijving!I21,1,0))</f>
        <v/>
      </c>
      <c r="AM20" s="73" t="str">
        <f>IF(Inschrijving!G21="","",IF(Inschrijving!G21=Inschrijving!I21,1,0))</f>
        <v/>
      </c>
      <c r="AN20" s="73" t="str">
        <f>IF(Inschrijving!I21="","",Inschrijving!F21)</f>
        <v/>
      </c>
      <c r="AO20" s="4"/>
      <c r="AP20" s="124">
        <f>RANK(BA20,$BA$19:$BA$22,1)</f>
        <v>4</v>
      </c>
      <c r="AQ20" s="124" t="str">
        <f>Groepsloting!B15</f>
        <v>Denemarken</v>
      </c>
      <c r="AR20" s="125">
        <f>COUNTIF(AJ$1:AJ$52,AQ20)+COUNTIF(AN$1:AN$52,AQ20)</f>
        <v>0</v>
      </c>
      <c r="AS20" s="125">
        <f>AW20*3+AX20</f>
        <v>0</v>
      </c>
      <c r="AT20" s="125">
        <f>SUMIF($D$20:$D$25,AQ20,$G$20:$G$25)+SUMIF($F$20:$F$25,AQ20,$I$20:$I$25)</f>
        <v>0</v>
      </c>
      <c r="AU20" s="125">
        <f>SUMIF($D$20:$D$25,AQ20,$I$20:$I$25)+SUMIF($F$20:$F$25,AQ20,$G$20:$G$25)</f>
        <v>0</v>
      </c>
      <c r="AV20" s="125">
        <f>AT20-AU20</f>
        <v>0</v>
      </c>
      <c r="AW20" s="125">
        <f>SUMIF(AJ$1:AJ$52,AQ20,AK$1:AK$52)+SUMIF(AN$1:AN$52,AQ20,AL$1:AL$52)</f>
        <v>0</v>
      </c>
      <c r="AX20" s="125">
        <f>SUMIF(AJ$1:AJ$52,AQ20,AM$1:AM$52)+SUMIF(AN$1:AN$52,AQ20,AM$1:AM$52)</f>
        <v>0</v>
      </c>
      <c r="AY20" s="125">
        <f>AR20-SUM(AW20:AX20)</f>
        <v>0</v>
      </c>
      <c r="AZ20" s="127">
        <f>SUMIF($F$20:$F$25,AQ20,$I$20:$I$25)</f>
        <v>0</v>
      </c>
      <c r="BA20" s="124">
        <f t="shared" ref="BA20:BA22" si="16">RANK(AS20,$AS$19:$AS$22)+RANK(AV20,$AV$19:$AV$22,0)/10+RANK(AT20,$AT$19:$AT$22,0)/100+RANK(AZ20,$AZ$19:$AZ$22,0)/1000+VLOOKUP(AQ20,$BG$3:$BH$26,2,0)/100000</f>
        <v>1.11165</v>
      </c>
      <c r="BG20" t="str">
        <f>Groepsloting!B180</f>
        <v>Slowakije</v>
      </c>
      <c r="BH20">
        <v>34</v>
      </c>
    </row>
    <row r="21" spans="1:61" ht="14.25" customHeight="1">
      <c r="A21" s="135">
        <v>5</v>
      </c>
      <c r="B21" s="140">
        <v>45459</v>
      </c>
      <c r="C21" s="141" t="s">
        <v>103</v>
      </c>
      <c r="D21" s="142" t="str">
        <f>Groepsloting!B16</f>
        <v>Servië</v>
      </c>
      <c r="E21" s="143" t="s">
        <v>5</v>
      </c>
      <c r="F21" s="142" t="str">
        <f>Groepsloting!B17</f>
        <v>Engeland</v>
      </c>
      <c r="G21" s="22"/>
      <c r="H21" s="150" t="s">
        <v>5</v>
      </c>
      <c r="I21" s="22"/>
      <c r="J21" s="24">
        <f t="shared" si="15"/>
        <v>0</v>
      </c>
      <c r="K21" s="158"/>
      <c r="L21" s="82"/>
      <c r="M21" s="108" t="str">
        <f>Groepsloting!$B$109</f>
        <v>1. Welke land krijgt de meeste tegendoelpunten in de groepsfase?  (5 punten)</v>
      </c>
      <c r="N21" s="26"/>
      <c r="O21" s="26"/>
      <c r="P21" s="26"/>
      <c r="Q21" s="26"/>
      <c r="R21" s="26"/>
      <c r="S21" s="26"/>
      <c r="T21" s="26"/>
      <c r="U21" s="26"/>
      <c r="V21" s="26"/>
      <c r="W21" s="89"/>
      <c r="X21" s="82"/>
      <c r="Y21" s="82"/>
      <c r="Z21" s="15">
        <v>3</v>
      </c>
      <c r="AA21" s="16" t="str">
        <f t="shared" si="14"/>
        <v>Engeland</v>
      </c>
      <c r="AB21" s="16">
        <f t="shared" si="14"/>
        <v>0</v>
      </c>
      <c r="AC21" s="16">
        <f t="shared" si="14"/>
        <v>0</v>
      </c>
      <c r="AD21" s="16">
        <f t="shared" si="14"/>
        <v>0</v>
      </c>
      <c r="AE21" s="16">
        <f t="shared" si="14"/>
        <v>0</v>
      </c>
      <c r="AF21" s="16">
        <f t="shared" si="14"/>
        <v>0</v>
      </c>
      <c r="AG21" s="16">
        <f>VLOOKUP($Z21,$AP$19:$BA$22,AZ$1,0)</f>
        <v>0</v>
      </c>
      <c r="AH21" s="17"/>
      <c r="AI21" s="4"/>
      <c r="AJ21" s="73" t="str">
        <f>IF(Inschrijving!G22="","",Inschrijving!D22)</f>
        <v/>
      </c>
      <c r="AK21" s="73" t="str">
        <f>IF(Inschrijving!G22="","",IF(Inschrijving!G22&gt;Inschrijving!I22,1,0))</f>
        <v/>
      </c>
      <c r="AL21" s="73" t="str">
        <f>IF(Inschrijving!G22="","",IF(Inschrijving!G22&lt;Inschrijving!I22,1,0))</f>
        <v/>
      </c>
      <c r="AM21" s="73" t="str">
        <f>IF(Inschrijving!G22="","",IF(Inschrijving!G22=Inschrijving!I22,1,0))</f>
        <v/>
      </c>
      <c r="AN21" s="73" t="str">
        <f>IF(Inschrijving!I22="","",Inschrijving!F22)</f>
        <v/>
      </c>
      <c r="AO21" s="4"/>
      <c r="AP21" s="124">
        <f>RANK(BA21,$BA$19:$BA$22,1)</f>
        <v>1</v>
      </c>
      <c r="AQ21" s="124" t="str">
        <f>Groepsloting!B16</f>
        <v>Servië</v>
      </c>
      <c r="AR21" s="125">
        <f>COUNTIF(AJ$1:AJ$52,AQ21)+COUNTIF(AN$1:AN$52,AQ21)</f>
        <v>0</v>
      </c>
      <c r="AS21" s="125">
        <f>AW21*3+AX21</f>
        <v>0</v>
      </c>
      <c r="AT21" s="125">
        <f>SUMIF($D$20:$D$25,AQ21,$G$20:$G$25)+SUMIF($F$20:$F$25,AQ21,$I$20:$I$25)</f>
        <v>0</v>
      </c>
      <c r="AU21" s="125">
        <f>SUMIF($D$20:$D$25,AQ21,$I$20:$I$25)+SUMIF($F$20:$F$25,AQ21,$G$20:$G$25)</f>
        <v>0</v>
      </c>
      <c r="AV21" s="125">
        <f>AT21-AU21</f>
        <v>0</v>
      </c>
      <c r="AW21" s="125">
        <f>SUMIF(AJ$1:AJ$52,AQ21,AK$1:AK$52)+SUMIF(AN$1:AN$52,AQ21,AL$1:AL$52)</f>
        <v>0</v>
      </c>
      <c r="AX21" s="125">
        <f>SUMIF(AJ$1:AJ$52,AQ21,AM$1:AM$52)+SUMIF(AN$1:AN$52,AQ21,AM$1:AM$52)</f>
        <v>0</v>
      </c>
      <c r="AY21" s="125">
        <f>AR21-SUM(AW21:AX21)</f>
        <v>0</v>
      </c>
      <c r="AZ21" s="127">
        <f>SUMIF($F$20:$F$25,AQ21,$I$20:$I$25)</f>
        <v>0</v>
      </c>
      <c r="BA21" s="124">
        <f t="shared" si="16"/>
        <v>1.11114</v>
      </c>
      <c r="BF21" t="s">
        <v>8</v>
      </c>
      <c r="BG21" t="str">
        <f>Groepsloting!B181</f>
        <v>Roemenië</v>
      </c>
      <c r="BH21">
        <v>6</v>
      </c>
    </row>
    <row r="22" spans="1:61" ht="14.25" customHeight="1">
      <c r="A22" s="135">
        <v>18</v>
      </c>
      <c r="B22" s="140">
        <v>45463</v>
      </c>
      <c r="C22" s="141" t="s">
        <v>337</v>
      </c>
      <c r="D22" s="142" t="str">
        <f>F20</f>
        <v>Denemarken</v>
      </c>
      <c r="E22" s="143" t="s">
        <v>5</v>
      </c>
      <c r="F22" s="142" t="str">
        <f>F21</f>
        <v>Engeland</v>
      </c>
      <c r="G22" s="22"/>
      <c r="H22" s="150" t="s">
        <v>5</v>
      </c>
      <c r="I22" s="22"/>
      <c r="J22" s="119">
        <f>IF(AND(G22="",I22=""),0,IF(G22&gt;I22,1,IF(G22&lt;I22,2,3)))</f>
        <v>0</v>
      </c>
      <c r="K22" s="84"/>
      <c r="L22" s="90"/>
      <c r="M22" s="83"/>
      <c r="N22" s="183"/>
      <c r="O22" s="184"/>
      <c r="P22" s="184"/>
      <c r="Q22" s="184"/>
      <c r="R22" s="184"/>
      <c r="S22" s="184"/>
      <c r="T22" s="184"/>
      <c r="U22" s="184"/>
      <c r="V22" s="185"/>
      <c r="W22" s="89"/>
      <c r="X22" s="82"/>
      <c r="Y22" s="82"/>
      <c r="Z22" s="15">
        <v>4</v>
      </c>
      <c r="AA22" s="16" t="str">
        <f t="shared" si="14"/>
        <v>Denemarken</v>
      </c>
      <c r="AB22" s="16">
        <f t="shared" si="14"/>
        <v>0</v>
      </c>
      <c r="AC22" s="16">
        <f t="shared" si="14"/>
        <v>0</v>
      </c>
      <c r="AD22" s="16">
        <f t="shared" si="14"/>
        <v>0</v>
      </c>
      <c r="AE22" s="16">
        <f t="shared" si="14"/>
        <v>0</v>
      </c>
      <c r="AF22" s="16">
        <f t="shared" si="14"/>
        <v>0</v>
      </c>
      <c r="AG22" s="16">
        <f>VLOOKUP($Z22,$AP$19:$BA$22,AZ$1,0)</f>
        <v>0</v>
      </c>
      <c r="AH22" s="17"/>
      <c r="AI22" s="4"/>
      <c r="AJ22" s="73" t="str">
        <f>IF(Inschrijving!G23="","",Inschrijving!D23)</f>
        <v/>
      </c>
      <c r="AK22" s="73" t="str">
        <f>IF(Inschrijving!G23="","",IF(Inschrijving!G23&gt;Inschrijving!I23,1,0))</f>
        <v/>
      </c>
      <c r="AL22" s="73" t="str">
        <f>IF(Inschrijving!G23="","",IF(Inschrijving!G23&lt;Inschrijving!I23,1,0))</f>
        <v/>
      </c>
      <c r="AM22" s="73" t="str">
        <f>IF(Inschrijving!G23="","",IF(Inschrijving!G23=Inschrijving!I23,1,0))</f>
        <v/>
      </c>
      <c r="AN22" s="73" t="str">
        <f>IF(Inschrijving!I23="","",Inschrijving!F23)</f>
        <v/>
      </c>
      <c r="AO22" s="4"/>
      <c r="AP22" s="124">
        <f>RANK(BA22,$BA$19:$BA$22,1)</f>
        <v>3</v>
      </c>
      <c r="AQ22" s="124" t="str">
        <f>Groepsloting!B17</f>
        <v>Engeland</v>
      </c>
      <c r="AR22" s="125">
        <f>COUNTIF(AJ$1:AJ$52,AQ22)+COUNTIF(AN$1:AN$52,AQ22)</f>
        <v>0</v>
      </c>
      <c r="AS22" s="125">
        <f>AW22*3+AX22</f>
        <v>0</v>
      </c>
      <c r="AT22" s="125">
        <f>SUMIF($D$20:$D$25,AQ22,$G$20:$G$25)+SUMIF($F$20:$F$25,AQ22,$I$20:$I$25)</f>
        <v>0</v>
      </c>
      <c r="AU22" s="125">
        <f>SUMIF($D$20:$D$25,AQ22,$I$20:$I$25)+SUMIF($F$20:$F$25,AQ22,$G$20:$G$25)</f>
        <v>0</v>
      </c>
      <c r="AV22" s="125">
        <f>AT22-AU22</f>
        <v>0</v>
      </c>
      <c r="AW22" s="125">
        <f>SUMIF(AJ$1:AJ$52,AQ22,AK$1:AK$52)+SUMIF(AN$1:AN$52,AQ22,AL$1:AL$52)</f>
        <v>0</v>
      </c>
      <c r="AX22" s="125">
        <f>SUMIF(AJ$1:AJ$52,AQ22,AM$1:AM$52)+SUMIF(AN$1:AN$52,AQ22,AM$1:AM$52)</f>
        <v>0</v>
      </c>
      <c r="AY22" s="125">
        <f>AR22-SUM(AW22:AX22)</f>
        <v>0</v>
      </c>
      <c r="AZ22" s="127">
        <f>SUMIF($F$20:$F$25,AQ22,$I$20:$I$25)</f>
        <v>0</v>
      </c>
      <c r="BA22" s="124">
        <f t="shared" si="16"/>
        <v>1.11124</v>
      </c>
      <c r="BF22" t="str">
        <f>AQ27</f>
        <v>Polen</v>
      </c>
      <c r="BG22" t="str">
        <f>Groepsloting!B178</f>
        <v>Frankrijk</v>
      </c>
      <c r="BH22">
        <v>42</v>
      </c>
    </row>
    <row r="23" spans="1:61" ht="14.25" customHeight="1">
      <c r="A23" s="135">
        <v>17</v>
      </c>
      <c r="B23" s="140">
        <v>45463</v>
      </c>
      <c r="C23" s="141" t="s">
        <v>336</v>
      </c>
      <c r="D23" s="142" t="str">
        <f>D20</f>
        <v>Slovenië</v>
      </c>
      <c r="E23" s="143" t="s">
        <v>5</v>
      </c>
      <c r="F23" s="142" t="str">
        <f>D21</f>
        <v>Servië</v>
      </c>
      <c r="G23" s="22"/>
      <c r="H23" s="150" t="s">
        <v>5</v>
      </c>
      <c r="I23" s="22"/>
      <c r="J23" s="120">
        <f t="shared" si="15"/>
        <v>0</v>
      </c>
      <c r="K23" s="84"/>
      <c r="L23" s="82"/>
      <c r="M23" s="108" t="str">
        <f>Groepsloting!$B$110</f>
        <v>2. Welk land krijgt de minste tegendoelpunten in de groepsfase?  (5 punten)</v>
      </c>
      <c r="N23" s="26"/>
      <c r="O23" s="26"/>
      <c r="P23" s="26"/>
      <c r="Q23" s="26"/>
      <c r="R23" s="26"/>
      <c r="S23" s="26"/>
      <c r="T23" s="26"/>
      <c r="U23" s="26"/>
      <c r="V23" s="26"/>
      <c r="W23" s="89"/>
      <c r="X23" s="82"/>
      <c r="Y23" s="82"/>
      <c r="AH23" s="4"/>
      <c r="AI23" s="4"/>
      <c r="AJ23" s="73" t="str">
        <f>IF(Inschrijving!G24="","",Inschrijving!D24)</f>
        <v/>
      </c>
      <c r="AK23" s="73" t="str">
        <f>IF(Inschrijving!G24="","",IF(Inschrijving!G24&gt;Inschrijving!I24,1,0))</f>
        <v/>
      </c>
      <c r="AL23" s="73" t="str">
        <f>IF(Inschrijving!G24="","",IF(Inschrijving!G24&lt;Inschrijving!I24,1,0))</f>
        <v/>
      </c>
      <c r="AM23" s="73" t="str">
        <f>IF(Inschrijving!G24="","",IF(Inschrijving!G24=Inschrijving!I24,1,0))</f>
        <v/>
      </c>
      <c r="AN23" s="73" t="str">
        <f>IF(Inschrijving!I24="","",Inschrijving!F24)</f>
        <v/>
      </c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F23" t="str">
        <f t="shared" ref="BF23:BF25" si="17">AQ28</f>
        <v>Nederland</v>
      </c>
      <c r="BG23" t="str">
        <f>Groepsloting!B163</f>
        <v>Duitsland</v>
      </c>
      <c r="BH23">
        <v>32</v>
      </c>
    </row>
    <row r="24" spans="1:61" ht="14.25" customHeight="1">
      <c r="A24" s="135">
        <v>30</v>
      </c>
      <c r="B24" s="140">
        <v>45468</v>
      </c>
      <c r="C24" s="141" t="s">
        <v>103</v>
      </c>
      <c r="D24" s="142" t="str">
        <f>F21</f>
        <v>Engeland</v>
      </c>
      <c r="E24" s="143" t="s">
        <v>5</v>
      </c>
      <c r="F24" s="142" t="str">
        <f>D20</f>
        <v>Slovenië</v>
      </c>
      <c r="G24" s="22"/>
      <c r="H24" s="150" t="s">
        <v>5</v>
      </c>
      <c r="I24" s="22"/>
      <c r="J24" s="120">
        <f t="shared" si="15"/>
        <v>0</v>
      </c>
      <c r="K24" s="84"/>
      <c r="L24" s="82"/>
      <c r="M24" s="109"/>
      <c r="N24" s="183"/>
      <c r="O24" s="184"/>
      <c r="P24" s="184"/>
      <c r="Q24" s="184"/>
      <c r="R24" s="184"/>
      <c r="S24" s="184"/>
      <c r="T24" s="184"/>
      <c r="U24" s="184"/>
      <c r="V24" s="185"/>
      <c r="W24" s="89"/>
      <c r="X24" s="82"/>
      <c r="Y24" s="82"/>
      <c r="AH24" s="4"/>
      <c r="AI24" s="4"/>
      <c r="AJ24" s="73" t="str">
        <f>IF(Inschrijving!G25="","",Inschrijving!D25)</f>
        <v/>
      </c>
      <c r="AK24" s="73" t="str">
        <f>IF(Inschrijving!G25="","",IF(Inschrijving!G25&gt;Inschrijving!I25,1,0))</f>
        <v/>
      </c>
      <c r="AL24" s="73" t="str">
        <f>IF(Inschrijving!G25="","",IF(Inschrijving!G25&lt;Inschrijving!I25,1,0))</f>
        <v/>
      </c>
      <c r="AM24" s="73" t="str">
        <f>IF(Inschrijving!G25="","",IF(Inschrijving!G25=Inschrijving!I25,1,0))</f>
        <v/>
      </c>
      <c r="AN24" s="73" t="str">
        <f>IF(Inschrijving!I25="","",Inschrijving!F25)</f>
        <v/>
      </c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F24" t="str">
        <f t="shared" si="17"/>
        <v>Oostenrijk</v>
      </c>
      <c r="BG24" t="str">
        <f>Groepsloting!B165</f>
        <v>Hongarije</v>
      </c>
      <c r="BH24">
        <v>18</v>
      </c>
    </row>
    <row r="25" spans="1:61" ht="14.25" customHeight="1">
      <c r="A25" s="135">
        <v>29</v>
      </c>
      <c r="B25" s="140">
        <v>45468</v>
      </c>
      <c r="C25" s="141" t="s">
        <v>103</v>
      </c>
      <c r="D25" s="142" t="str">
        <f>F20</f>
        <v>Denemarken</v>
      </c>
      <c r="E25" s="143" t="s">
        <v>5</v>
      </c>
      <c r="F25" s="142" t="str">
        <f>D21</f>
        <v>Servië</v>
      </c>
      <c r="G25" s="22"/>
      <c r="H25" s="150" t="s">
        <v>5</v>
      </c>
      <c r="I25" s="22"/>
      <c r="J25" s="24">
        <f t="shared" si="15"/>
        <v>0</v>
      </c>
      <c r="K25" s="84"/>
      <c r="L25" s="90"/>
      <c r="M25" s="108" t="str">
        <f>Groepsloting!$B$111</f>
        <v>3. Welk land scoort de meeste doelpunten in de groepsfase?  (5 punten)</v>
      </c>
      <c r="N25" s="26"/>
      <c r="O25" s="26"/>
      <c r="P25" s="26"/>
      <c r="Q25" s="26"/>
      <c r="R25" s="26"/>
      <c r="S25" s="26"/>
      <c r="T25" s="26"/>
      <c r="U25" s="26"/>
      <c r="V25" s="26"/>
      <c r="W25" s="89"/>
      <c r="X25" s="82"/>
      <c r="Y25" s="82"/>
      <c r="AH25" s="4"/>
      <c r="AI25" s="4"/>
      <c r="AJ25" s="73"/>
      <c r="AK25" s="73"/>
      <c r="AL25" s="73"/>
      <c r="AM25" s="73"/>
      <c r="AN25" s="73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F25" t="str">
        <f t="shared" si="17"/>
        <v>Frankrijk</v>
      </c>
      <c r="BG25" t="str">
        <f>Groepsloting!B182</f>
        <v>Oekraïne</v>
      </c>
      <c r="BH25">
        <v>20</v>
      </c>
    </row>
    <row r="26" spans="1:61" ht="14.25" customHeight="1">
      <c r="A26" s="116"/>
      <c r="B26" s="136"/>
      <c r="C26" s="76"/>
      <c r="D26" s="77"/>
      <c r="E26" s="78"/>
      <c r="F26" s="77"/>
      <c r="G26" s="79"/>
      <c r="H26" s="78"/>
      <c r="I26" s="79"/>
      <c r="J26" s="79"/>
      <c r="K26" s="84"/>
      <c r="L26" s="82"/>
      <c r="M26" s="109"/>
      <c r="N26" s="183"/>
      <c r="O26" s="184"/>
      <c r="P26" s="184"/>
      <c r="Q26" s="184"/>
      <c r="R26" s="184"/>
      <c r="S26" s="184"/>
      <c r="T26" s="184"/>
      <c r="U26" s="184"/>
      <c r="V26" s="185"/>
      <c r="W26" s="89"/>
      <c r="X26" s="82"/>
      <c r="Y26" s="82"/>
      <c r="Z26" s="19"/>
      <c r="AA26" s="19" t="s">
        <v>8</v>
      </c>
      <c r="AB26" s="20" t="s">
        <v>18</v>
      </c>
      <c r="AC26" s="20" t="s">
        <v>19</v>
      </c>
      <c r="AD26" s="20" t="s">
        <v>20</v>
      </c>
      <c r="AE26" s="20" t="s">
        <v>21</v>
      </c>
      <c r="AF26" s="20" t="s">
        <v>22</v>
      </c>
      <c r="AG26" s="20" t="s">
        <v>338</v>
      </c>
      <c r="AH26" s="4"/>
      <c r="AI26" s="4" t="s">
        <v>69</v>
      </c>
      <c r="AJ26" s="74" t="s">
        <v>54</v>
      </c>
      <c r="AK26" s="74"/>
      <c r="AL26" s="74"/>
      <c r="AM26" s="74"/>
      <c r="AN26" s="74" t="s">
        <v>56</v>
      </c>
      <c r="AO26" s="4"/>
      <c r="AP26" s="124" t="s">
        <v>69</v>
      </c>
      <c r="AQ26" s="124"/>
      <c r="AR26" s="125" t="s">
        <v>58</v>
      </c>
      <c r="AS26" s="125" t="s">
        <v>65</v>
      </c>
      <c r="AT26" s="125" t="s">
        <v>62</v>
      </c>
      <c r="AU26" s="125" t="s">
        <v>63</v>
      </c>
      <c r="AV26" s="125" t="s">
        <v>64</v>
      </c>
      <c r="AW26" s="125" t="s">
        <v>59</v>
      </c>
      <c r="AX26" s="125" t="s">
        <v>60</v>
      </c>
      <c r="AY26" s="125" t="s">
        <v>61</v>
      </c>
      <c r="AZ26" s="125" t="s">
        <v>338</v>
      </c>
      <c r="BA26" s="124" t="s">
        <v>72</v>
      </c>
      <c r="BG26" t="str">
        <f>Groepsloting!B166</f>
        <v>Zwitserland</v>
      </c>
      <c r="BH26">
        <v>16</v>
      </c>
    </row>
    <row r="27" spans="1:61" ht="14.25" customHeight="1">
      <c r="A27" s="135"/>
      <c r="B27" s="144" t="str">
        <f>Groepsloting!$B$49</f>
        <v>Groep D</v>
      </c>
      <c r="C27" s="145"/>
      <c r="D27" s="146" t="str">
        <f>Groepsloting!$B$64</f>
        <v>Wedstrijd</v>
      </c>
      <c r="E27" s="147"/>
      <c r="F27" s="146"/>
      <c r="G27" s="146" t="str">
        <f>Groepsloting!$B$65</f>
        <v>Uitslag</v>
      </c>
      <c r="H27" s="146"/>
      <c r="I27" s="146"/>
      <c r="J27" s="170" t="str">
        <f>Groepsloting!$B$66</f>
        <v>Toto</v>
      </c>
      <c r="K27" s="84"/>
      <c r="L27" s="82"/>
      <c r="M27" s="108" t="str">
        <f>Groepsloting!$B$112</f>
        <v>4. Welk land scoort de minste doelpunten in de groepsfase?  (5 punten)</v>
      </c>
      <c r="N27" s="26"/>
      <c r="O27" s="26"/>
      <c r="P27" s="26"/>
      <c r="Q27" s="26"/>
      <c r="R27" s="26"/>
      <c r="S27" s="26"/>
      <c r="T27" s="26"/>
      <c r="U27" s="26"/>
      <c r="V27" s="26"/>
      <c r="W27" s="89"/>
      <c r="X27" s="82"/>
      <c r="Y27" s="82"/>
      <c r="Z27" s="15">
        <v>1</v>
      </c>
      <c r="AA27" s="16" t="str">
        <f t="shared" ref="AA27:AF30" si="18">VLOOKUP($Z27,$AP$27:$AY$30,AQ$1,0)</f>
        <v>Polen</v>
      </c>
      <c r="AB27" s="16">
        <f t="shared" si="18"/>
        <v>0</v>
      </c>
      <c r="AC27" s="16">
        <f t="shared" si="18"/>
        <v>0</v>
      </c>
      <c r="AD27" s="16">
        <f t="shared" si="18"/>
        <v>0</v>
      </c>
      <c r="AE27" s="16">
        <f t="shared" si="18"/>
        <v>0</v>
      </c>
      <c r="AF27" s="16">
        <f t="shared" si="18"/>
        <v>0</v>
      </c>
      <c r="AG27" s="16">
        <f>VLOOKUP($Z27,$AP$27:$BA$30,AZ$1,0)</f>
        <v>0</v>
      </c>
      <c r="AH27" s="17"/>
      <c r="AI27" s="4"/>
      <c r="AJ27" s="73" t="str">
        <f>IF(Inschrijving!G28="","",Inschrijving!D28)</f>
        <v/>
      </c>
      <c r="AK27" s="73" t="str">
        <f>IF(Inschrijving!G28="","",IF(Inschrijving!G28&gt;Inschrijving!I28,1,0))</f>
        <v/>
      </c>
      <c r="AL27" s="73" t="str">
        <f>IF(Inschrijving!G28="","",IF(Inschrijving!G28&lt;Inschrijving!I28,1,0))</f>
        <v/>
      </c>
      <c r="AM27" s="73" t="str">
        <f>IF(Inschrijving!G28="","",IF(Inschrijving!G28=Inschrijving!I28,1,0))</f>
        <v/>
      </c>
      <c r="AN27" s="73" t="str">
        <f>IF(Inschrijving!I28="","",Inschrijving!F28)</f>
        <v/>
      </c>
      <c r="AO27" s="4"/>
      <c r="AP27" s="124">
        <f>RANK(BA27,$BA$27:$BA$30,1)</f>
        <v>1</v>
      </c>
      <c r="AQ27" s="124" t="str">
        <f>Groepsloting!B20</f>
        <v>Polen</v>
      </c>
      <c r="AR27" s="125">
        <f>COUNTIF(AJ$1:AJ$52,AQ27)+COUNTIF(AN$1:AN$52,AQ27)</f>
        <v>0</v>
      </c>
      <c r="AS27" s="125">
        <f>AW27*3+AX27</f>
        <v>0</v>
      </c>
      <c r="AT27" s="125">
        <f>SUMIF($D$28:$D$33,AQ27,$G$28:$G$33)+SUMIF($F$28:$F$33,AQ27,$I$28:$I$33)</f>
        <v>0</v>
      </c>
      <c r="AU27" s="125">
        <f>SUMIF($D$28:$D$33,AQ27,$I$28:$I$33)+SUMIF($F$28:$F$33,AQ27,$G$28:$G$33)</f>
        <v>0</v>
      </c>
      <c r="AV27" s="125">
        <f>AT27-AU27</f>
        <v>0</v>
      </c>
      <c r="AW27" s="125">
        <f>SUMIF(AJ$1:AJ$52,AQ27,AK$1:AK$52)+SUMIF(AN$1:AN$52,AQ27,AL$1:AL$52)</f>
        <v>0</v>
      </c>
      <c r="AX27" s="125">
        <f>SUMIF(AJ$1:AJ$52,AQ27,AM$1:AM$52)+SUMIF(AN$1:AN$52,AQ27,AM$1:AM$52)</f>
        <v>0</v>
      </c>
      <c r="AY27" s="125">
        <f>AR27-SUM(AW27:AX27)</f>
        <v>0</v>
      </c>
      <c r="AZ27" s="127">
        <f>SUMIF($F$28:$F$33,AQ27,$I$28:$I$33)</f>
        <v>0</v>
      </c>
      <c r="BA27" s="124">
        <f>RANK(AS27,$AS$27:$AS$30)+RANK(AV27,$AV$27:$AV$30,0)/10+RANK(AT27,$AT$27:$AT$30,0)/100+RANK(AZ27,$AZ$27:$AZ$30,0)/1000+VLOOKUP(AQ27,$BG$3:$BH$26,2,0)/100000</f>
        <v>1.11104</v>
      </c>
      <c r="BF27" t="s">
        <v>9</v>
      </c>
    </row>
    <row r="28" spans="1:61" ht="14.25" customHeight="1">
      <c r="A28" s="135">
        <v>7</v>
      </c>
      <c r="B28" s="140">
        <v>45459</v>
      </c>
      <c r="C28" s="141" t="s">
        <v>336</v>
      </c>
      <c r="D28" s="142" t="str">
        <f>Groepsloting!B20</f>
        <v>Polen</v>
      </c>
      <c r="E28" s="143" t="s">
        <v>5</v>
      </c>
      <c r="F28" s="142" t="str">
        <f>Groepsloting!B21</f>
        <v>Nederland</v>
      </c>
      <c r="G28" s="22"/>
      <c r="H28" s="150" t="s">
        <v>5</v>
      </c>
      <c r="I28" s="22"/>
      <c r="J28" s="24">
        <f t="shared" ref="J28:J33" si="19">IF(AND(G28="",I28=""),0,IF(G28&gt;I28,1,IF(G28&lt;I28,2,3)))</f>
        <v>0</v>
      </c>
      <c r="K28" s="84"/>
      <c r="L28" s="90"/>
      <c r="M28" s="109"/>
      <c r="N28" s="183"/>
      <c r="O28" s="184"/>
      <c r="P28" s="184"/>
      <c r="Q28" s="184"/>
      <c r="R28" s="184"/>
      <c r="S28" s="184"/>
      <c r="T28" s="184"/>
      <c r="U28" s="184"/>
      <c r="V28" s="185"/>
      <c r="W28" s="89"/>
      <c r="X28" s="82"/>
      <c r="Y28" s="82"/>
      <c r="Z28" s="15">
        <v>2</v>
      </c>
      <c r="AA28" s="16" t="str">
        <f t="shared" si="18"/>
        <v>Nederland</v>
      </c>
      <c r="AB28" s="16">
        <f t="shared" si="18"/>
        <v>0</v>
      </c>
      <c r="AC28" s="16">
        <f t="shared" si="18"/>
        <v>0</v>
      </c>
      <c r="AD28" s="16">
        <f t="shared" si="18"/>
        <v>0</v>
      </c>
      <c r="AE28" s="16">
        <f t="shared" si="18"/>
        <v>0</v>
      </c>
      <c r="AF28" s="16">
        <f t="shared" si="18"/>
        <v>0</v>
      </c>
      <c r="AG28" s="16">
        <f>VLOOKUP($Z28,$AP$27:$BA$30,AZ$1,0)</f>
        <v>0</v>
      </c>
      <c r="AH28" s="17"/>
      <c r="AI28" s="4"/>
      <c r="AJ28" s="73" t="str">
        <f>IF(Inschrijving!G29="","",Inschrijving!D29)</f>
        <v/>
      </c>
      <c r="AK28" s="73" t="str">
        <f>IF(Inschrijving!G29="","",IF(Inschrijving!G29&gt;Inschrijving!I29,1,0))</f>
        <v/>
      </c>
      <c r="AL28" s="73" t="str">
        <f>IF(Inschrijving!G29="","",IF(Inschrijving!G29&lt;Inschrijving!I29,1,0))</f>
        <v/>
      </c>
      <c r="AM28" s="73" t="str">
        <f>IF(Inschrijving!G29="","",IF(Inschrijving!G29=Inschrijving!I29,1,0))</f>
        <v/>
      </c>
      <c r="AN28" s="73" t="str">
        <f>IF(Inschrijving!I29="","",Inschrijving!F29)</f>
        <v/>
      </c>
      <c r="AO28" s="4"/>
      <c r="AP28" s="124">
        <f>RANK(BA28,$BA$27:$BA$30,1)</f>
        <v>2</v>
      </c>
      <c r="AQ28" s="124" t="str">
        <f>Groepsloting!B21</f>
        <v>Nederland</v>
      </c>
      <c r="AR28" s="125">
        <f>COUNTIF(AJ$1:AJ$52,AQ28)+COUNTIF(AN$1:AN$52,AQ28)</f>
        <v>0</v>
      </c>
      <c r="AS28" s="125">
        <f>AW28*3+AX28</f>
        <v>0</v>
      </c>
      <c r="AT28" s="125">
        <f>SUMIF($D$28:$D$33,AQ28,$G$28:$G$33)+SUMIF($F$28:$F$33,AQ28,$I$28:$I$33)</f>
        <v>0</v>
      </c>
      <c r="AU28" s="125">
        <f>SUMIF($D$28:$D$33,AQ28,$I$28:$I$33)+SUMIF($F$28:$F$33,AQ28,$G$28:$G$33)</f>
        <v>0</v>
      </c>
      <c r="AV28" s="125">
        <f>AT28-AU28</f>
        <v>0</v>
      </c>
      <c r="AW28" s="125">
        <f>SUMIF(AJ$1:AJ$52,AQ28,AK$1:AK$52)+SUMIF(AN$1:AN$52,AQ28,AL$1:AL$52)</f>
        <v>0</v>
      </c>
      <c r="AX28" s="125">
        <f>SUMIF(AJ$1:AJ$52,AQ28,AM$1:AM$52)+SUMIF(AN$1:AN$52,AQ28,AM$1:AM$52)</f>
        <v>0</v>
      </c>
      <c r="AY28" s="125">
        <f>AR28-SUM(AW28:AX28)</f>
        <v>0</v>
      </c>
      <c r="AZ28" s="127">
        <f>SUMIF($F$28:$F$33,AQ28,$I$28:$I$33)</f>
        <v>0</v>
      </c>
      <c r="BA28" s="124">
        <f t="shared" ref="BA28:BA30" si="20">RANK(AS28,$AS$27:$AS$30)+RANK(AV28,$AV$27:$AV$30,0)/10+RANK(AT28,$AT$27:$AT$30,0)/100+RANK(AZ28,$AZ$27:$AZ$30,0)/1000+VLOOKUP(AQ28,$BG$3:$BH$26,2,0)/100000</f>
        <v>1.11111</v>
      </c>
      <c r="BF28" t="str">
        <f>AQ35</f>
        <v>België</v>
      </c>
    </row>
    <row r="29" spans="1:61" ht="14.25" customHeight="1">
      <c r="A29" s="135">
        <v>8</v>
      </c>
      <c r="B29" s="140">
        <v>45460</v>
      </c>
      <c r="C29" s="141" t="s">
        <v>103</v>
      </c>
      <c r="D29" s="142" t="str">
        <f>Groepsloting!B22</f>
        <v>Oostenrijk</v>
      </c>
      <c r="E29" s="143" t="s">
        <v>5</v>
      </c>
      <c r="F29" s="142" t="str">
        <f>Groepsloting!B23</f>
        <v>Frankrijk</v>
      </c>
      <c r="G29" s="22"/>
      <c r="H29" s="150" t="s">
        <v>5</v>
      </c>
      <c r="I29" s="22"/>
      <c r="J29" s="24">
        <f t="shared" si="19"/>
        <v>0</v>
      </c>
      <c r="K29" s="158"/>
      <c r="L29" s="82"/>
      <c r="M29" s="108" t="str">
        <f>Groepsloting!$B$113</f>
        <v>5. Wie wordt topscoorder van het toernooi? (Achternaam) (5 punten)</v>
      </c>
      <c r="N29" s="26"/>
      <c r="O29" s="26"/>
      <c r="P29" s="26"/>
      <c r="Q29" s="26"/>
      <c r="R29" s="26"/>
      <c r="S29" s="26"/>
      <c r="T29" s="26"/>
      <c r="U29" s="26"/>
      <c r="V29" s="26"/>
      <c r="W29" s="89"/>
      <c r="X29" s="82"/>
      <c r="Y29" s="82"/>
      <c r="Z29" s="15">
        <v>3</v>
      </c>
      <c r="AA29" s="16" t="str">
        <f t="shared" si="18"/>
        <v>Frankrijk</v>
      </c>
      <c r="AB29" s="16">
        <f t="shared" si="18"/>
        <v>0</v>
      </c>
      <c r="AC29" s="16">
        <f t="shared" si="18"/>
        <v>0</v>
      </c>
      <c r="AD29" s="16">
        <f t="shared" si="18"/>
        <v>0</v>
      </c>
      <c r="AE29" s="16">
        <f t="shared" si="18"/>
        <v>0</v>
      </c>
      <c r="AF29" s="16">
        <f t="shared" si="18"/>
        <v>0</v>
      </c>
      <c r="AG29" s="16">
        <f>VLOOKUP($Z29,$AP$27:$BA$30,AZ$1,0)</f>
        <v>0</v>
      </c>
      <c r="AH29" s="17"/>
      <c r="AI29" s="4"/>
      <c r="AJ29" s="73" t="str">
        <f>IF(Inschrijving!G30="","",Inschrijving!D30)</f>
        <v/>
      </c>
      <c r="AK29" s="73" t="str">
        <f>IF(Inschrijving!G30="","",IF(Inschrijving!G30&gt;Inschrijving!I30,1,0))</f>
        <v/>
      </c>
      <c r="AL29" s="73" t="str">
        <f>IF(Inschrijving!G30="","",IF(Inschrijving!G30&lt;Inschrijving!I30,1,0))</f>
        <v/>
      </c>
      <c r="AM29" s="73" t="str">
        <f>IF(Inschrijving!G30="","",IF(Inschrijving!G30=Inschrijving!I30,1,0))</f>
        <v/>
      </c>
      <c r="AN29" s="73" t="str">
        <f>IF(Inschrijving!I30="","",Inschrijving!F30)</f>
        <v/>
      </c>
      <c r="AO29" s="4"/>
      <c r="AP29" s="124">
        <f>RANK(BA29,$BA$27:$BA$30,1)</f>
        <v>4</v>
      </c>
      <c r="AQ29" s="124" t="str">
        <f>Groepsloting!B22</f>
        <v>Oostenrijk</v>
      </c>
      <c r="AR29" s="125">
        <f>COUNTIF(AJ$1:AJ$52,AQ29)+COUNTIF(AN$1:AN$52,AQ29)</f>
        <v>0</v>
      </c>
      <c r="AS29" s="125">
        <f>AW29*3+AX29</f>
        <v>0</v>
      </c>
      <c r="AT29" s="125">
        <f>SUMIF($D$28:$D$33,AQ29,$G$28:$G$33)+SUMIF($F$28:$F$33,AQ29,$I$28:$I$33)</f>
        <v>0</v>
      </c>
      <c r="AU29" s="125">
        <f>SUMIF($D$28:$D$33,AQ29,$I$28:$I$33)+SUMIF($F$28:$F$33,AQ29,$G$28:$G$33)</f>
        <v>0</v>
      </c>
      <c r="AV29" s="125">
        <f>AT29-AU29</f>
        <v>0</v>
      </c>
      <c r="AW29" s="125">
        <f>SUMIF(AJ$1:AJ$52,AQ29,AK$1:AK$52)+SUMIF(AN$1:AN$52,AQ29,AL$1:AL$52)</f>
        <v>0</v>
      </c>
      <c r="AX29" s="125">
        <f>SUMIF(AJ$1:AJ$52,AQ29,AM$1:AM$52)+SUMIF(AN$1:AN$52,AQ29,AM$1:AM$52)</f>
        <v>0</v>
      </c>
      <c r="AY29" s="125">
        <f>AR29-SUM(AW29:AX29)</f>
        <v>0</v>
      </c>
      <c r="AZ29" s="127">
        <f>SUMIF($F$28:$F$33,AQ29,$I$28:$I$33)</f>
        <v>0</v>
      </c>
      <c r="BA29" s="124">
        <f t="shared" si="20"/>
        <v>1.11148</v>
      </c>
      <c r="BF29" t="str">
        <f t="shared" ref="BF29:BF31" si="21">AQ36</f>
        <v>Slowakije</v>
      </c>
    </row>
    <row r="30" spans="1:61" ht="14.25" customHeight="1">
      <c r="A30" s="135">
        <v>19</v>
      </c>
      <c r="B30" s="140">
        <v>45464</v>
      </c>
      <c r="C30" s="141" t="s">
        <v>103</v>
      </c>
      <c r="D30" s="142" t="str">
        <f>F28</f>
        <v>Nederland</v>
      </c>
      <c r="E30" s="143" t="s">
        <v>5</v>
      </c>
      <c r="F30" s="142" t="str">
        <f>F29</f>
        <v>Frankrijk</v>
      </c>
      <c r="G30" s="22"/>
      <c r="H30" s="150" t="s">
        <v>5</v>
      </c>
      <c r="I30" s="22"/>
      <c r="J30" s="119">
        <f t="shared" si="19"/>
        <v>0</v>
      </c>
      <c r="K30" s="84"/>
      <c r="L30" s="82"/>
      <c r="M30" s="109"/>
      <c r="N30" s="183"/>
      <c r="O30" s="184"/>
      <c r="P30" s="184"/>
      <c r="Q30" s="184"/>
      <c r="R30" s="184"/>
      <c r="S30" s="184"/>
      <c r="T30" s="184"/>
      <c r="U30" s="184"/>
      <c r="V30" s="185"/>
      <c r="W30" s="89"/>
      <c r="X30" s="82"/>
      <c r="Y30" s="82"/>
      <c r="Z30" s="15">
        <v>4</v>
      </c>
      <c r="AA30" s="16" t="str">
        <f t="shared" si="18"/>
        <v>Oostenrijk</v>
      </c>
      <c r="AB30" s="16">
        <f t="shared" si="18"/>
        <v>0</v>
      </c>
      <c r="AC30" s="16">
        <f t="shared" si="18"/>
        <v>0</v>
      </c>
      <c r="AD30" s="16">
        <f t="shared" si="18"/>
        <v>0</v>
      </c>
      <c r="AE30" s="16">
        <f t="shared" si="18"/>
        <v>0</v>
      </c>
      <c r="AF30" s="16">
        <f t="shared" si="18"/>
        <v>0</v>
      </c>
      <c r="AG30" s="16">
        <f>VLOOKUP($Z30,$AP$27:$BA$30,AZ$1,0)</f>
        <v>0</v>
      </c>
      <c r="AH30" s="17"/>
      <c r="AI30" s="4"/>
      <c r="AJ30" s="73" t="str">
        <f>IF(Inschrijving!G31="","",Inschrijving!D31)</f>
        <v/>
      </c>
      <c r="AK30" s="73" t="str">
        <f>IF(Inschrijving!G31="","",IF(Inschrijving!G31&gt;Inschrijving!I31,1,0))</f>
        <v/>
      </c>
      <c r="AL30" s="73" t="str">
        <f>IF(Inschrijving!G31="","",IF(Inschrijving!G31&lt;Inschrijving!I31,1,0))</f>
        <v/>
      </c>
      <c r="AM30" s="73" t="str">
        <f>IF(Inschrijving!G31="","",IF(Inschrijving!G31=Inschrijving!I31,1,0))</f>
        <v/>
      </c>
      <c r="AN30" s="73" t="str">
        <f>IF(Inschrijving!I31="","",Inschrijving!F31)</f>
        <v/>
      </c>
      <c r="AO30" s="4"/>
      <c r="AP30" s="124">
        <f>RANK(BA30,$BA$27:$BA$30,1)</f>
        <v>3</v>
      </c>
      <c r="AQ30" s="124" t="str">
        <f>Groepsloting!B23</f>
        <v>Frankrijk</v>
      </c>
      <c r="AR30" s="125">
        <f>COUNTIF(AJ$1:AJ$52,AQ30)+COUNTIF(AN$1:AN$52,AQ30)</f>
        <v>0</v>
      </c>
      <c r="AS30" s="125">
        <f>AW30*3+AX30</f>
        <v>0</v>
      </c>
      <c r="AT30" s="125">
        <f>SUMIF($D$28:$D$33,AQ30,$G$28:$G$33)+SUMIF($F$28:$F$33,AQ30,$I$28:$I$33)</f>
        <v>0</v>
      </c>
      <c r="AU30" s="125">
        <f>SUMIF($D$28:$D$33,AQ30,$I$28:$I$33)+SUMIF($F$28:$F$33,AQ30,$G$28:$G$33)</f>
        <v>0</v>
      </c>
      <c r="AV30" s="125">
        <f>AT30-AU30</f>
        <v>0</v>
      </c>
      <c r="AW30" s="125">
        <f>SUMIF(AJ$1:AJ$52,AQ30,AK$1:AK$52)+SUMIF(AN$1:AN$52,AQ30,AL$1:AL$52)</f>
        <v>0</v>
      </c>
      <c r="AX30" s="125">
        <f>SUMIF(AJ$1:AJ$52,AQ30,AM$1:AM$52)+SUMIF(AN$1:AN$52,AQ30,AM$1:AM$52)</f>
        <v>0</v>
      </c>
      <c r="AY30" s="125">
        <f>AR30-SUM(AW30:AX30)</f>
        <v>0</v>
      </c>
      <c r="AZ30" s="127">
        <f>SUMIF($F$28:$F$33,AQ30,$I$28:$I$33)</f>
        <v>0</v>
      </c>
      <c r="BA30" s="124">
        <f t="shared" si="20"/>
        <v>1.1114200000000001</v>
      </c>
      <c r="BF30" t="str">
        <f t="shared" si="21"/>
        <v>Roemenië</v>
      </c>
    </row>
    <row r="31" spans="1:61" ht="14.25" customHeight="1">
      <c r="A31" s="135">
        <v>20</v>
      </c>
      <c r="B31" s="140">
        <v>45464</v>
      </c>
      <c r="C31" s="141" t="s">
        <v>337</v>
      </c>
      <c r="D31" s="142" t="str">
        <f>D28</f>
        <v>Polen</v>
      </c>
      <c r="E31" s="143" t="s">
        <v>5</v>
      </c>
      <c r="F31" s="142" t="str">
        <f>D29</f>
        <v>Oostenrijk</v>
      </c>
      <c r="G31" s="22"/>
      <c r="H31" s="150" t="s">
        <v>5</v>
      </c>
      <c r="I31" s="22"/>
      <c r="J31" s="120">
        <f t="shared" si="19"/>
        <v>0</v>
      </c>
      <c r="K31" s="84"/>
      <c r="L31" s="90"/>
      <c r="M31" s="108" t="str">
        <f>Groepsloting!$B$114</f>
        <v>6. Hoeveel doelpunten worden er in het toernooi gescoord?  (range ±5=5pnt)</v>
      </c>
      <c r="N31" s="26"/>
      <c r="O31" s="26"/>
      <c r="P31" s="26"/>
      <c r="Q31" s="26"/>
      <c r="R31" s="26"/>
      <c r="S31" s="26"/>
      <c r="T31" s="26"/>
      <c r="U31" s="26"/>
      <c r="V31" s="26"/>
      <c r="W31" s="89"/>
      <c r="X31" s="82"/>
      <c r="Y31" s="82"/>
      <c r="AC31" s="18"/>
      <c r="AH31" s="4"/>
      <c r="AI31" s="4"/>
      <c r="AJ31" s="73" t="str">
        <f>IF(Inschrijving!G32="","",Inschrijving!D32)</f>
        <v/>
      </c>
      <c r="AK31" s="73" t="str">
        <f>IF(Inschrijving!G32="","",IF(Inschrijving!G32&gt;Inschrijving!I32,1,0))</f>
        <v/>
      </c>
      <c r="AL31" s="73" t="str">
        <f>IF(Inschrijving!G32="","",IF(Inschrijving!G32&lt;Inschrijving!I32,1,0))</f>
        <v/>
      </c>
      <c r="AM31" s="73" t="str">
        <f>IF(Inschrijving!G32="","",IF(Inschrijving!G32=Inschrijving!I32,1,0))</f>
        <v/>
      </c>
      <c r="AN31" s="73" t="str">
        <f>IF(Inschrijving!I32="","",Inschrijving!F32)</f>
        <v/>
      </c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F31" t="str">
        <f t="shared" si="21"/>
        <v>Oekraïne</v>
      </c>
      <c r="BG31" t="s">
        <v>464</v>
      </c>
      <c r="BH31" t="s">
        <v>465</v>
      </c>
      <c r="BI31" t="str">
        <f>Groepsloting!B221</f>
        <v>Selectie</v>
      </c>
    </row>
    <row r="32" spans="1:61" ht="14.25" customHeight="1">
      <c r="A32" s="135">
        <v>32</v>
      </c>
      <c r="B32" s="140">
        <v>45468</v>
      </c>
      <c r="C32" s="141" t="s">
        <v>337</v>
      </c>
      <c r="D32" s="142" t="str">
        <f>F29</f>
        <v>Frankrijk</v>
      </c>
      <c r="E32" s="143" t="s">
        <v>5</v>
      </c>
      <c r="F32" s="142" t="str">
        <f>D28</f>
        <v>Polen</v>
      </c>
      <c r="G32" s="22"/>
      <c r="H32" s="150" t="s">
        <v>5</v>
      </c>
      <c r="I32" s="22"/>
      <c r="J32" s="120">
        <f t="shared" si="19"/>
        <v>0</v>
      </c>
      <c r="K32" s="84"/>
      <c r="L32" s="82"/>
      <c r="M32" s="109"/>
      <c r="N32" s="183"/>
      <c r="O32" s="184"/>
      <c r="P32" s="184"/>
      <c r="Q32" s="184"/>
      <c r="R32" s="184"/>
      <c r="S32" s="184"/>
      <c r="T32" s="184"/>
      <c r="U32" s="184"/>
      <c r="V32" s="185"/>
      <c r="W32" s="89"/>
      <c r="X32" s="82"/>
      <c r="Y32" s="82"/>
      <c r="AH32" s="4"/>
      <c r="AI32" s="4"/>
      <c r="AJ32" s="73" t="str">
        <f>IF(Inschrijving!G33="","",Inschrijving!D33)</f>
        <v/>
      </c>
      <c r="AK32" s="73" t="str">
        <f>IF(Inschrijving!G33="","",IF(Inschrijving!G33&gt;Inschrijving!I33,1,0))</f>
        <v/>
      </c>
      <c r="AL32" s="73" t="str">
        <f>IF(Inschrijving!G33="","",IF(Inschrijving!G33&lt;Inschrijving!I33,1,0))</f>
        <v/>
      </c>
      <c r="AM32" s="73" t="str">
        <f>IF(Inschrijving!G33="","",IF(Inschrijving!G33=Inschrijving!I33,1,0))</f>
        <v/>
      </c>
      <c r="AN32" s="73" t="str">
        <f>IF(Inschrijving!I33="","",Inschrijving!F33)</f>
        <v/>
      </c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G32" t="str">
        <f>BF4</f>
        <v>Duitsland</v>
      </c>
      <c r="BH32" t="str">
        <f>BF22</f>
        <v>Polen</v>
      </c>
      <c r="BI32" t="str">
        <f>Groepsloting!B222</f>
        <v>Bijlow</v>
      </c>
    </row>
    <row r="33" spans="1:61" ht="14.25" customHeight="1">
      <c r="A33" s="135">
        <v>31</v>
      </c>
      <c r="B33" s="140">
        <v>45468</v>
      </c>
      <c r="C33" s="141" t="s">
        <v>337</v>
      </c>
      <c r="D33" s="142" t="str">
        <f>F28</f>
        <v>Nederland</v>
      </c>
      <c r="E33" s="143" t="s">
        <v>5</v>
      </c>
      <c r="F33" s="142" t="str">
        <f>D29</f>
        <v>Oostenrijk</v>
      </c>
      <c r="G33" s="22"/>
      <c r="H33" s="150" t="s">
        <v>5</v>
      </c>
      <c r="I33" s="22"/>
      <c r="J33" s="24">
        <f t="shared" si="19"/>
        <v>0</v>
      </c>
      <c r="K33" s="84"/>
      <c r="L33" s="82"/>
      <c r="M33" s="108" t="str">
        <f>Groepsloting!$B$115</f>
        <v>7. Hoeveel gele kaarten vallen er in het toernooi?   (range ±5=5pnt)</v>
      </c>
      <c r="N33" s="26"/>
      <c r="O33" s="26"/>
      <c r="P33" s="26"/>
      <c r="Q33" s="26"/>
      <c r="R33" s="26"/>
      <c r="S33" s="26"/>
      <c r="T33" s="26"/>
      <c r="U33" s="26"/>
      <c r="V33" s="26"/>
      <c r="W33" s="89"/>
      <c r="X33" s="82"/>
      <c r="Y33" s="82"/>
      <c r="AH33" s="4"/>
      <c r="AI33" s="4"/>
      <c r="AJ33" s="73"/>
      <c r="AK33" s="73"/>
      <c r="AL33" s="73"/>
      <c r="AM33" s="73"/>
      <c r="AN33" s="73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F33" t="s">
        <v>10</v>
      </c>
      <c r="BG33" t="str">
        <f t="shared" ref="BG33:BG35" si="22">BF5</f>
        <v>Schotland</v>
      </c>
      <c r="BH33" t="str">
        <f t="shared" ref="BH33:BH35" si="23">BF23</f>
        <v>Nederland</v>
      </c>
      <c r="BI33" t="str">
        <f>Groepsloting!B223</f>
        <v>Flekken</v>
      </c>
    </row>
    <row r="34" spans="1:61" ht="14.25" customHeight="1">
      <c r="A34" s="116"/>
      <c r="B34" s="136"/>
      <c r="C34" s="76"/>
      <c r="D34" s="77"/>
      <c r="E34" s="78"/>
      <c r="F34" s="77"/>
      <c r="G34" s="79"/>
      <c r="H34" s="78"/>
      <c r="I34" s="79"/>
      <c r="J34" s="79"/>
      <c r="K34" s="84"/>
      <c r="L34" s="90"/>
      <c r="M34" s="83"/>
      <c r="N34" s="183"/>
      <c r="O34" s="184"/>
      <c r="P34" s="184"/>
      <c r="Q34" s="184"/>
      <c r="R34" s="184"/>
      <c r="S34" s="184"/>
      <c r="T34" s="184"/>
      <c r="U34" s="184"/>
      <c r="V34" s="185"/>
      <c r="W34" s="89"/>
      <c r="X34" s="82"/>
      <c r="Y34" s="82"/>
      <c r="Z34" s="19"/>
      <c r="AA34" s="19" t="s">
        <v>9</v>
      </c>
      <c r="AB34" s="20" t="s">
        <v>18</v>
      </c>
      <c r="AC34" s="20" t="s">
        <v>19</v>
      </c>
      <c r="AD34" s="20" t="s">
        <v>20</v>
      </c>
      <c r="AE34" s="20" t="s">
        <v>21</v>
      </c>
      <c r="AF34" s="20" t="s">
        <v>22</v>
      </c>
      <c r="AG34" s="20" t="s">
        <v>338</v>
      </c>
      <c r="AH34" s="17"/>
      <c r="AI34" s="4" t="s">
        <v>70</v>
      </c>
      <c r="AJ34" s="74" t="s">
        <v>54</v>
      </c>
      <c r="AK34" s="74"/>
      <c r="AL34" s="74"/>
      <c r="AM34" s="74"/>
      <c r="AN34" s="74" t="s">
        <v>56</v>
      </c>
      <c r="AO34" s="4"/>
      <c r="AP34" s="124" t="s">
        <v>70</v>
      </c>
      <c r="AQ34" s="124"/>
      <c r="AR34" s="125" t="s">
        <v>58</v>
      </c>
      <c r="AS34" s="125" t="s">
        <v>65</v>
      </c>
      <c r="AT34" s="125" t="s">
        <v>62</v>
      </c>
      <c r="AU34" s="125" t="s">
        <v>63</v>
      </c>
      <c r="AV34" s="125" t="s">
        <v>64</v>
      </c>
      <c r="AW34" s="125" t="s">
        <v>59</v>
      </c>
      <c r="AX34" s="125" t="s">
        <v>60</v>
      </c>
      <c r="AY34" s="125" t="s">
        <v>61</v>
      </c>
      <c r="AZ34" s="125" t="s">
        <v>338</v>
      </c>
      <c r="BA34" s="124" t="s">
        <v>72</v>
      </c>
      <c r="BF34" t="str">
        <f>AQ43</f>
        <v>Turkije</v>
      </c>
      <c r="BG34" t="str">
        <f t="shared" si="22"/>
        <v>Hongarije</v>
      </c>
      <c r="BH34" t="str">
        <f t="shared" si="23"/>
        <v>Oostenrijk</v>
      </c>
      <c r="BI34" t="str">
        <f>Groepsloting!B224</f>
        <v>Verbruggen</v>
      </c>
    </row>
    <row r="35" spans="1:61" ht="14.25" customHeight="1">
      <c r="A35" s="135"/>
      <c r="B35" s="144" t="str">
        <f>Groepsloting!$B$52</f>
        <v>Groep E</v>
      </c>
      <c r="C35" s="145"/>
      <c r="D35" s="146" t="str">
        <f>Groepsloting!$B$64</f>
        <v>Wedstrijd</v>
      </c>
      <c r="E35" s="147"/>
      <c r="F35" s="146"/>
      <c r="G35" s="146" t="str">
        <f>Groepsloting!$B$65</f>
        <v>Uitslag</v>
      </c>
      <c r="H35" s="146"/>
      <c r="I35" s="146"/>
      <c r="J35" s="170" t="str">
        <f>Groepsloting!$B$66</f>
        <v>Toto</v>
      </c>
      <c r="K35" s="84"/>
      <c r="L35" s="82"/>
      <c r="M35" s="193" t="str">
        <f>Groepsloting!$B$116</f>
        <v>8. Wie scoort het eerste doelpunt voor Nederland?  (5 punten)</v>
      </c>
      <c r="N35" s="193" t="str">
        <f>Groepsloting!$B$115</f>
        <v>7. Hoeveel gele kaarten vallen er in het toernooi?   (range ±5=5pnt)</v>
      </c>
      <c r="O35" s="193" t="str">
        <f>Groepsloting!$B$115</f>
        <v>7. Hoeveel gele kaarten vallen er in het toernooi?   (range ±5=5pnt)</v>
      </c>
      <c r="P35" s="193" t="str">
        <f>Groepsloting!$B$115</f>
        <v>7. Hoeveel gele kaarten vallen er in het toernooi?   (range ±5=5pnt)</v>
      </c>
      <c r="Q35" s="193" t="str">
        <f>Groepsloting!$B$115</f>
        <v>7. Hoeveel gele kaarten vallen er in het toernooi?   (range ±5=5pnt)</v>
      </c>
      <c r="R35" s="193" t="str">
        <f>Groepsloting!$B$115</f>
        <v>7. Hoeveel gele kaarten vallen er in het toernooi?   (range ±5=5pnt)</v>
      </c>
      <c r="S35" s="193" t="str">
        <f>Groepsloting!$B$115</f>
        <v>7. Hoeveel gele kaarten vallen er in het toernooi?   (range ±5=5pnt)</v>
      </c>
      <c r="T35" s="193" t="str">
        <f>Groepsloting!$B$115</f>
        <v>7. Hoeveel gele kaarten vallen er in het toernooi?   (range ±5=5pnt)</v>
      </c>
      <c r="U35" s="193" t="str">
        <f>Groepsloting!$B$115</f>
        <v>7. Hoeveel gele kaarten vallen er in het toernooi?   (range ±5=5pnt)</v>
      </c>
      <c r="V35" s="193" t="str">
        <f>Groepsloting!$B$115</f>
        <v>7. Hoeveel gele kaarten vallen er in het toernooi?   (range ±5=5pnt)</v>
      </c>
      <c r="W35" s="89"/>
      <c r="X35" s="82"/>
      <c r="Y35" s="82"/>
      <c r="Z35" s="15">
        <v>1</v>
      </c>
      <c r="AA35" s="16" t="str">
        <f t="shared" ref="AA35:AF38" si="24">VLOOKUP($Z35,$AP$35:$AY$38,AQ$1,0)</f>
        <v>Roemenië</v>
      </c>
      <c r="AB35" s="16">
        <f t="shared" si="24"/>
        <v>0</v>
      </c>
      <c r="AC35" s="16">
        <f t="shared" si="24"/>
        <v>0</v>
      </c>
      <c r="AD35" s="16">
        <f t="shared" si="24"/>
        <v>0</v>
      </c>
      <c r="AE35" s="16">
        <f t="shared" si="24"/>
        <v>0</v>
      </c>
      <c r="AF35" s="16">
        <f t="shared" si="24"/>
        <v>0</v>
      </c>
      <c r="AG35" s="16">
        <f>VLOOKUP($Z35,$AP$35:$BA$38,AZ$1,0)</f>
        <v>0</v>
      </c>
      <c r="AH35" s="17"/>
      <c r="AI35" s="4"/>
      <c r="AJ35" s="73" t="str">
        <f>IF(Inschrijving!G36="","",Inschrijving!D36)</f>
        <v/>
      </c>
      <c r="AK35" s="73" t="str">
        <f>IF(Inschrijving!G36="","",IF(Inschrijving!G36&gt;Inschrijving!I36,1,0))</f>
        <v/>
      </c>
      <c r="AL35" s="73" t="str">
        <f>IF(Inschrijving!G36="","",IF(Inschrijving!G36&lt;Inschrijving!I36,1,0))</f>
        <v/>
      </c>
      <c r="AM35" s="73" t="str">
        <f>IF(Inschrijving!G36="","",IF(Inschrijving!G36=Inschrijving!I36,1,0))</f>
        <v/>
      </c>
      <c r="AN35" s="73" t="str">
        <f>IF(Inschrijving!I36="","",Inschrijving!F36)</f>
        <v/>
      </c>
      <c r="AO35" s="4"/>
      <c r="AP35" s="124">
        <f>RANK(BA35,$BA$35:$BA$38,1)</f>
        <v>2</v>
      </c>
      <c r="AQ35" s="124" t="str">
        <f>Groepsloting!B26</f>
        <v>België</v>
      </c>
      <c r="AR35" s="125">
        <f>COUNTIF(AJ$1:AJ$52,AQ35)+COUNTIF(AN$1:AN$52,AQ35)</f>
        <v>0</v>
      </c>
      <c r="AS35" s="125">
        <f>AW35*3+AX35</f>
        <v>0</v>
      </c>
      <c r="AT35" s="125">
        <f>SUMIF($D$36:$D$41,AQ35,$G$36:$G$41)+SUMIF($F$36:$F$41,AQ35,$I$36:$I$41)</f>
        <v>0</v>
      </c>
      <c r="AU35" s="125">
        <f>SUMIF($D$36:$D$41,AQ35,$I$36:$I$41)+SUMIF($F$36:$F$41,AQ35,$G$36:$G$41)</f>
        <v>0</v>
      </c>
      <c r="AV35" s="125">
        <f>AT35-AU35</f>
        <v>0</v>
      </c>
      <c r="AW35" s="125">
        <f>SUMIF(AJ$1:AJ$52,AQ35,AK$1:AK$52)+SUMIF(AN$1:AN$52,AQ35,AL$1:AL$52)</f>
        <v>0</v>
      </c>
      <c r="AX35" s="125">
        <f>SUMIF(AJ$1:AJ$52,AQ35,AM$1:AM$52)+SUMIF(AN$1:AN$52,AQ35,AM$1:AM$52)</f>
        <v>0</v>
      </c>
      <c r="AY35" s="125">
        <f>AR35-SUM(AW35:AX35)</f>
        <v>0</v>
      </c>
      <c r="AZ35" s="127">
        <f>SUMIF($F$36:$F$41,AQ35,$I$36:$I$41)</f>
        <v>0</v>
      </c>
      <c r="BA35" s="124">
        <f>RANK(AS35,$AS$35:$AS$38)+RANK(AV35,$AV$35:$AV$38,0)/10+RANK(AT35,$AT$35:$AT$38,0)/100+RANK(AZ35,$AZ$35:$AZ$38,0)/1000+VLOOKUP(AQ35,$BG$3:$BH$26,2,0)/100000</f>
        <v>1.1111899999999999</v>
      </c>
      <c r="BF35" t="str">
        <f t="shared" ref="BF35:BF37" si="25">AQ44</f>
        <v>Georgië</v>
      </c>
      <c r="BG35" t="str">
        <f t="shared" si="22"/>
        <v>Zwitserland</v>
      </c>
      <c r="BH35" t="str">
        <f t="shared" si="23"/>
        <v>Frankrijk</v>
      </c>
      <c r="BI35" t="str">
        <f>Groepsloting!B225</f>
        <v>Aké</v>
      </c>
    </row>
    <row r="36" spans="1:61" ht="14.25" customHeight="1">
      <c r="A36" s="135">
        <v>10</v>
      </c>
      <c r="B36" s="140">
        <v>45460</v>
      </c>
      <c r="C36" s="141" t="s">
        <v>337</v>
      </c>
      <c r="D36" s="142" t="str">
        <f>Groepsloting!B26</f>
        <v>België</v>
      </c>
      <c r="E36" s="143" t="s">
        <v>5</v>
      </c>
      <c r="F36" s="142" t="str">
        <f>Groepsloting!B27</f>
        <v>Slowakije</v>
      </c>
      <c r="G36" s="22"/>
      <c r="H36" s="150" t="s">
        <v>5</v>
      </c>
      <c r="I36" s="22"/>
      <c r="J36" s="24">
        <f t="shared" ref="J36:J41" si="26">IF(AND(G36="",I36=""),0,IF(G36&gt;I36,1,IF(G36&lt;I36,2,3)))</f>
        <v>0</v>
      </c>
      <c r="K36" s="84"/>
      <c r="L36" s="82"/>
      <c r="M36" s="171"/>
      <c r="N36" s="180"/>
      <c r="O36" s="181"/>
      <c r="P36" s="181"/>
      <c r="Q36" s="181"/>
      <c r="R36" s="181"/>
      <c r="S36" s="181"/>
      <c r="T36" s="181"/>
      <c r="U36" s="181"/>
      <c r="V36" s="182"/>
      <c r="W36" s="89"/>
      <c r="X36" s="82"/>
      <c r="Y36" s="82"/>
      <c r="Z36" s="15">
        <v>2</v>
      </c>
      <c r="AA36" s="16" t="str">
        <f t="shared" si="24"/>
        <v>België</v>
      </c>
      <c r="AB36" s="16">
        <f t="shared" si="24"/>
        <v>0</v>
      </c>
      <c r="AC36" s="16">
        <f t="shared" si="24"/>
        <v>0</v>
      </c>
      <c r="AD36" s="16">
        <f t="shared" si="24"/>
        <v>0</v>
      </c>
      <c r="AE36" s="16">
        <f t="shared" si="24"/>
        <v>0</v>
      </c>
      <c r="AF36" s="16">
        <f t="shared" si="24"/>
        <v>0</v>
      </c>
      <c r="AG36" s="16">
        <f>VLOOKUP($Z36,$AP$35:$BA$38,AZ$1,0)</f>
        <v>0</v>
      </c>
      <c r="AH36" s="17"/>
      <c r="AI36" s="4"/>
      <c r="AJ36" s="73" t="str">
        <f>IF(Inschrijving!G37="","",Inschrijving!D37)</f>
        <v/>
      </c>
      <c r="AK36" s="73" t="str">
        <f>IF(Inschrijving!G37="","",IF(Inschrijving!G37&gt;Inschrijving!I37,1,0))</f>
        <v/>
      </c>
      <c r="AL36" s="73" t="str">
        <f>IF(Inschrijving!G37="","",IF(Inschrijving!G37&lt;Inschrijving!I37,1,0))</f>
        <v/>
      </c>
      <c r="AM36" s="73" t="str">
        <f>IF(Inschrijving!G37="","",IF(Inschrijving!G37=Inschrijving!I37,1,0))</f>
        <v/>
      </c>
      <c r="AN36" s="73" t="str">
        <f>IF(Inschrijving!I37="","",Inschrijving!F37)</f>
        <v/>
      </c>
      <c r="AO36" s="4"/>
      <c r="AP36" s="124">
        <f>RANK(BA36,$BA$35:$BA$38,1)</f>
        <v>4</v>
      </c>
      <c r="AQ36" s="124" t="str">
        <f>Groepsloting!B27</f>
        <v>Slowakije</v>
      </c>
      <c r="AR36" s="125">
        <f>COUNTIF(AJ$1:AJ$52,AQ36)+COUNTIF(AN$1:AN$52,AQ36)</f>
        <v>0</v>
      </c>
      <c r="AS36" s="125">
        <f>AW36*3+AX36</f>
        <v>0</v>
      </c>
      <c r="AT36" s="125">
        <f>SUMIF($D$36:$D$41,AQ36,$G$36:$G$41)+SUMIF($F$36:$F$41,AQ36,$I$36:$I$41)</f>
        <v>0</v>
      </c>
      <c r="AU36" s="125">
        <f>SUMIF($D$36:$D$41,AQ36,$I$36:$I$41)+SUMIF($F$36:$F$41,AQ36,$G$36:$G$41)</f>
        <v>0</v>
      </c>
      <c r="AV36" s="125">
        <f>AT36-AU36</f>
        <v>0</v>
      </c>
      <c r="AW36" s="125">
        <f>SUMIF(AJ$1:AJ$52,AQ36,AK$1:AK$52)+SUMIF(AN$1:AN$52,AQ36,AL$1:AL$52)</f>
        <v>0</v>
      </c>
      <c r="AX36" s="125">
        <f>SUMIF(AJ$1:AJ$52,AQ36,AM$1:AM$52)+SUMIF(AN$1:AN$52,AQ36,AM$1:AM$52)</f>
        <v>0</v>
      </c>
      <c r="AY36" s="125">
        <f>AR36-SUM(AW36:AX36)</f>
        <v>0</v>
      </c>
      <c r="AZ36" s="127">
        <f>SUMIF($F$36:$F$41,AQ36,$I$36:$I$41)</f>
        <v>0</v>
      </c>
      <c r="BA36" s="124">
        <f t="shared" ref="BA36:BA38" si="27">RANK(AS36,$AS$35:$AS$38)+RANK(AV36,$AV$35:$AV$38,0)/10+RANK(AT36,$AT$35:$AT$38,0)/100+RANK(AZ36,$AZ$35:$AZ$38,0)/1000+VLOOKUP(AQ36,$BG$3:$BH$26,2,0)/100000</f>
        <v>1.11134</v>
      </c>
      <c r="BF36" t="str">
        <f t="shared" si="25"/>
        <v>Portugal</v>
      </c>
      <c r="BG36" t="str">
        <f>BF22</f>
        <v>Polen</v>
      </c>
      <c r="BH36" t="str">
        <f>BF28</f>
        <v>België</v>
      </c>
      <c r="BI36" t="str">
        <f>Groepsloting!B226</f>
        <v>Blind</v>
      </c>
    </row>
    <row r="37" spans="1:61" ht="14.25" customHeight="1">
      <c r="A37" s="135">
        <v>9</v>
      </c>
      <c r="B37" s="140">
        <v>45460</v>
      </c>
      <c r="C37" s="141" t="s">
        <v>336</v>
      </c>
      <c r="D37" s="142" t="str">
        <f>Groepsloting!B28</f>
        <v>Roemenië</v>
      </c>
      <c r="E37" s="143" t="s">
        <v>5</v>
      </c>
      <c r="F37" s="142" t="str">
        <f>Groepsloting!B29</f>
        <v>Oekraïne</v>
      </c>
      <c r="G37" s="22"/>
      <c r="H37" s="150" t="s">
        <v>5</v>
      </c>
      <c r="I37" s="22"/>
      <c r="J37" s="24">
        <f t="shared" si="26"/>
        <v>0</v>
      </c>
      <c r="K37" s="158"/>
      <c r="L37" s="90"/>
      <c r="M37" s="193" t="str">
        <f>Groepsloting!$B$117</f>
        <v>9. Welke Nederlandse speler krijgt de eerste gele kaart?  (5 punten)</v>
      </c>
      <c r="N37" s="193"/>
      <c r="O37" s="193"/>
      <c r="P37" s="193"/>
      <c r="Q37" s="193"/>
      <c r="R37" s="193"/>
      <c r="S37" s="193"/>
      <c r="T37" s="193"/>
      <c r="U37" s="193"/>
      <c r="V37" s="193"/>
      <c r="W37" s="89"/>
      <c r="X37" s="82"/>
      <c r="Y37" s="82"/>
      <c r="Z37" s="15">
        <v>3</v>
      </c>
      <c r="AA37" s="16" t="str">
        <f t="shared" si="24"/>
        <v>Oekraïne</v>
      </c>
      <c r="AB37" s="16">
        <f t="shared" si="24"/>
        <v>0</v>
      </c>
      <c r="AC37" s="16">
        <f t="shared" si="24"/>
        <v>0</v>
      </c>
      <c r="AD37" s="16">
        <f t="shared" si="24"/>
        <v>0</v>
      </c>
      <c r="AE37" s="16">
        <f t="shared" si="24"/>
        <v>0</v>
      </c>
      <c r="AF37" s="16">
        <f t="shared" si="24"/>
        <v>0</v>
      </c>
      <c r="AG37" s="16">
        <f>VLOOKUP($Z37,$AP$35:$BA$38,AZ$1,0)</f>
        <v>0</v>
      </c>
      <c r="AH37" s="4"/>
      <c r="AI37" s="4"/>
      <c r="AJ37" s="73" t="str">
        <f>IF(Inschrijving!G38="","",Inschrijving!D38)</f>
        <v/>
      </c>
      <c r="AK37" s="73" t="str">
        <f>IF(Inschrijving!G38="","",IF(Inschrijving!G38&gt;Inschrijving!I38,1,0))</f>
        <v/>
      </c>
      <c r="AL37" s="73" t="str">
        <f>IF(Inschrijving!G38="","",IF(Inschrijving!G38&lt;Inschrijving!I38,1,0))</f>
        <v/>
      </c>
      <c r="AM37" s="73" t="str">
        <f>IF(Inschrijving!G38="","",IF(Inschrijving!G38=Inschrijving!I38,1,0))</f>
        <v/>
      </c>
      <c r="AN37" s="73" t="str">
        <f>IF(Inschrijving!I38="","",Inschrijving!F38)</f>
        <v/>
      </c>
      <c r="AO37" s="4"/>
      <c r="AP37" s="124">
        <f>RANK(BA37,$BA$35:$BA$38,1)</f>
        <v>1</v>
      </c>
      <c r="AQ37" s="124" t="str">
        <f>Groepsloting!B28</f>
        <v>Roemenië</v>
      </c>
      <c r="AR37" s="125">
        <f>COUNTIF(AJ$1:AJ$52,AQ37)+COUNTIF(AN$1:AN$52,AQ37)</f>
        <v>0</v>
      </c>
      <c r="AS37" s="125">
        <f>AW37*3+AX37</f>
        <v>0</v>
      </c>
      <c r="AT37" s="125">
        <f>SUMIF($D$36:$D$41,AQ37,$G$36:$G$41)+SUMIF($F$36:$F$41,AQ37,$I$36:$I$41)</f>
        <v>0</v>
      </c>
      <c r="AU37" s="125">
        <f>SUMIF($D$36:$D$41,AQ37,$I$36:$I$41)+SUMIF($F$36:$F$41,AQ37,$G$36:$G$41)</f>
        <v>0</v>
      </c>
      <c r="AV37" s="125">
        <f>AT37-AU37</f>
        <v>0</v>
      </c>
      <c r="AW37" s="125">
        <f>SUMIF(AJ$1:AJ$52,AQ37,AK$1:AK$52)+SUMIF(AN$1:AN$52,AQ37,AL$1:AL$52)</f>
        <v>0</v>
      </c>
      <c r="AX37" s="125">
        <f>SUMIF(AJ$1:AJ$52,AQ37,AM$1:AM$52)+SUMIF(AN$1:AN$52,AQ37,AM$1:AM$52)</f>
        <v>0</v>
      </c>
      <c r="AY37" s="125">
        <f>AR37-SUM(AW37:AX37)</f>
        <v>0</v>
      </c>
      <c r="AZ37" s="127">
        <f>SUMIF($F$36:$F$41,AQ37,$I$36:$I$41)</f>
        <v>0</v>
      </c>
      <c r="BA37" s="124">
        <f t="shared" si="27"/>
        <v>1.1110599999999999</v>
      </c>
      <c r="BF37" t="str">
        <f t="shared" si="25"/>
        <v>Tsjechië</v>
      </c>
      <c r="BG37" t="str">
        <f t="shared" ref="BG37:BG39" si="28">BF23</f>
        <v>Nederland</v>
      </c>
      <c r="BH37" t="str">
        <f t="shared" ref="BH37:BH39" si="29">BF29</f>
        <v>Slowakije</v>
      </c>
      <c r="BI37" t="str">
        <f>Groepsloting!B227</f>
        <v>De Ligt</v>
      </c>
    </row>
    <row r="38" spans="1:61" ht="14.25" customHeight="1">
      <c r="A38" s="135">
        <v>21</v>
      </c>
      <c r="B38" s="140">
        <v>45464</v>
      </c>
      <c r="C38" s="141" t="s">
        <v>336</v>
      </c>
      <c r="D38" s="142" t="str">
        <f>F36</f>
        <v>Slowakije</v>
      </c>
      <c r="E38" s="143" t="s">
        <v>5</v>
      </c>
      <c r="F38" s="142" t="str">
        <f>F37</f>
        <v>Oekraïne</v>
      </c>
      <c r="G38" s="22"/>
      <c r="H38" s="150" t="s">
        <v>5</v>
      </c>
      <c r="I38" s="22"/>
      <c r="J38" s="119">
        <f t="shared" si="26"/>
        <v>0</v>
      </c>
      <c r="K38" s="84"/>
      <c r="L38" s="82"/>
      <c r="M38" s="171"/>
      <c r="N38" s="180"/>
      <c r="O38" s="181"/>
      <c r="P38" s="181"/>
      <c r="Q38" s="181"/>
      <c r="R38" s="181"/>
      <c r="S38" s="181"/>
      <c r="T38" s="181"/>
      <c r="U38" s="181"/>
      <c r="V38" s="182"/>
      <c r="W38" s="89"/>
      <c r="X38" s="82"/>
      <c r="Y38" s="82"/>
      <c r="Z38" s="15">
        <v>4</v>
      </c>
      <c r="AA38" s="16" t="str">
        <f t="shared" si="24"/>
        <v>Slowakije</v>
      </c>
      <c r="AB38" s="16">
        <f t="shared" si="24"/>
        <v>0</v>
      </c>
      <c r="AC38" s="16">
        <f t="shared" si="24"/>
        <v>0</v>
      </c>
      <c r="AD38" s="16">
        <f t="shared" si="24"/>
        <v>0</v>
      </c>
      <c r="AE38" s="16">
        <f t="shared" si="24"/>
        <v>0</v>
      </c>
      <c r="AF38" s="16">
        <f t="shared" si="24"/>
        <v>0</v>
      </c>
      <c r="AG38" s="16">
        <f>VLOOKUP($Z38,$AP$35:$BA$38,AZ$1,0)</f>
        <v>0</v>
      </c>
      <c r="AH38" s="4"/>
      <c r="AI38" s="4"/>
      <c r="AJ38" s="73" t="str">
        <f>IF(Inschrijving!G39="","",Inschrijving!D39)</f>
        <v/>
      </c>
      <c r="AK38" s="73" t="str">
        <f>IF(Inschrijving!G39="","",IF(Inschrijving!G39&gt;Inschrijving!I39,1,0))</f>
        <v/>
      </c>
      <c r="AL38" s="73" t="str">
        <f>IF(Inschrijving!G39="","",IF(Inschrijving!G39&lt;Inschrijving!I39,1,0))</f>
        <v/>
      </c>
      <c r="AM38" s="73" t="str">
        <f>IF(Inschrijving!G39="","",IF(Inschrijving!G39=Inschrijving!I39,1,0))</f>
        <v/>
      </c>
      <c r="AN38" s="73" t="str">
        <f>IF(Inschrijving!I39="","",Inschrijving!F39)</f>
        <v/>
      </c>
      <c r="AO38" s="4"/>
      <c r="AP38" s="124">
        <f>RANK(BA38,$BA$35:$BA$38,1)</f>
        <v>3</v>
      </c>
      <c r="AQ38" s="124" t="str">
        <f>Groepsloting!B29</f>
        <v>Oekraïne</v>
      </c>
      <c r="AR38" s="125">
        <f>COUNTIF(AJ$1:AJ$52,AQ38)+COUNTIF(AN$1:AN$52,AQ38)</f>
        <v>0</v>
      </c>
      <c r="AS38" s="125">
        <f>AW38*3+AX38</f>
        <v>0</v>
      </c>
      <c r="AT38" s="125">
        <f>SUMIF($D$36:$D$41,AQ38,$G$36:$G$41)+SUMIF($F$36:$F$41,AQ38,$I$36:$I$41)</f>
        <v>0</v>
      </c>
      <c r="AU38" s="125">
        <f>SUMIF($D$36:$D$41,AQ38,$I$36:$I$41)+SUMIF($F$36:$F$41,AQ38,$G$36:$G$41)</f>
        <v>0</v>
      </c>
      <c r="AV38" s="125">
        <f>AT38-AU38</f>
        <v>0</v>
      </c>
      <c r="AW38" s="125">
        <f>SUMIF(AJ$1:AJ$52,AQ38,AK$1:AK$52)+SUMIF(AN$1:AN$52,AQ38,AL$1:AL$52)</f>
        <v>0</v>
      </c>
      <c r="AX38" s="125">
        <f>SUMIF(AJ$1:AJ$52,AQ38,AM$1:AM$52)+SUMIF(AN$1:AN$52,AQ38,AM$1:AM$52)</f>
        <v>0</v>
      </c>
      <c r="AY38" s="125">
        <f>AR38-SUM(AW38:AX38)</f>
        <v>0</v>
      </c>
      <c r="AZ38" s="127">
        <f>SUMIF($F$36:$F$41,AQ38,$I$36:$I$41)</f>
        <v>0</v>
      </c>
      <c r="BA38" s="124">
        <f t="shared" si="27"/>
        <v>1.1112</v>
      </c>
      <c r="BG38" t="str">
        <f t="shared" si="28"/>
        <v>Oostenrijk</v>
      </c>
      <c r="BH38" t="str">
        <f t="shared" si="29"/>
        <v>Roemenië</v>
      </c>
      <c r="BI38" t="str">
        <f>Groepsloting!B228</f>
        <v>De Vrij</v>
      </c>
    </row>
    <row r="39" spans="1:61" ht="14.25" customHeight="1">
      <c r="A39" s="135">
        <v>22</v>
      </c>
      <c r="B39" s="140">
        <v>45465</v>
      </c>
      <c r="C39" s="141" t="s">
        <v>103</v>
      </c>
      <c r="D39" s="142" t="str">
        <f>D36</f>
        <v>België</v>
      </c>
      <c r="E39" s="143" t="s">
        <v>5</v>
      </c>
      <c r="F39" s="142" t="str">
        <f>D37</f>
        <v>Roemenië</v>
      </c>
      <c r="G39" s="22"/>
      <c r="H39" s="150" t="s">
        <v>5</v>
      </c>
      <c r="I39" s="22"/>
      <c r="J39" s="120">
        <f t="shared" si="26"/>
        <v>0</v>
      </c>
      <c r="K39" s="84"/>
      <c r="L39" s="82"/>
      <c r="M39" s="193" t="str">
        <f>Groepsloting!$B$118</f>
        <v>10. Hoeveel doelpunten maakt Nederland in totaal?  (5 punten)</v>
      </c>
      <c r="N39" s="193"/>
      <c r="O39" s="193"/>
      <c r="P39" s="193"/>
      <c r="Q39" s="193"/>
      <c r="R39" s="193"/>
      <c r="S39" s="193"/>
      <c r="T39" s="193"/>
      <c r="U39" s="193"/>
      <c r="V39" s="193"/>
      <c r="W39" s="89"/>
      <c r="X39" s="82"/>
      <c r="Y39" s="82"/>
      <c r="AH39" s="4"/>
      <c r="AI39" s="4"/>
      <c r="AJ39" s="73" t="str">
        <f>IF(Inschrijving!G40="","",Inschrijving!D40)</f>
        <v/>
      </c>
      <c r="AK39" s="73" t="str">
        <f>IF(Inschrijving!G40="","",IF(Inschrijving!G40&gt;Inschrijving!I40,1,0))</f>
        <v/>
      </c>
      <c r="AL39" s="73" t="str">
        <f>IF(Inschrijving!G40="","",IF(Inschrijving!G40&lt;Inschrijving!I40,1,0))</f>
        <v/>
      </c>
      <c r="AM39" s="73" t="str">
        <f>IF(Inschrijving!G40="","",IF(Inschrijving!G40=Inschrijving!I40,1,0))</f>
        <v/>
      </c>
      <c r="AN39" s="73" t="str">
        <f>IF(Inschrijving!I40="","",Inschrijving!F40)</f>
        <v/>
      </c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G39" t="str">
        <f t="shared" si="28"/>
        <v>Frankrijk</v>
      </c>
      <c r="BH39" t="str">
        <f t="shared" si="29"/>
        <v>Oekraïne</v>
      </c>
      <c r="BI39" t="str">
        <f>Groepsloting!B229</f>
        <v>Dumfries</v>
      </c>
    </row>
    <row r="40" spans="1:61" ht="14.25" customHeight="1">
      <c r="A40" s="135">
        <v>34</v>
      </c>
      <c r="B40" s="140">
        <v>45469</v>
      </c>
      <c r="C40" s="141" t="s">
        <v>337</v>
      </c>
      <c r="D40" s="142" t="str">
        <f>F37</f>
        <v>Oekraïne</v>
      </c>
      <c r="E40" s="143" t="s">
        <v>5</v>
      </c>
      <c r="F40" s="142" t="str">
        <f>Groepsloting!B26</f>
        <v>België</v>
      </c>
      <c r="G40" s="22"/>
      <c r="H40" s="150" t="s">
        <v>5</v>
      </c>
      <c r="I40" s="22"/>
      <c r="J40" s="120">
        <f t="shared" si="26"/>
        <v>0</v>
      </c>
      <c r="K40" s="84"/>
      <c r="L40" s="90"/>
      <c r="M40" s="171"/>
      <c r="N40" s="180"/>
      <c r="O40" s="181"/>
      <c r="P40" s="181"/>
      <c r="Q40" s="181"/>
      <c r="R40" s="181"/>
      <c r="S40" s="181"/>
      <c r="T40" s="181"/>
      <c r="U40" s="181"/>
      <c r="V40" s="182"/>
      <c r="W40" s="89"/>
      <c r="X40" s="82"/>
      <c r="Y40" s="82"/>
      <c r="AH40" s="4"/>
      <c r="AI40" s="4"/>
      <c r="AJ40" s="73" t="str">
        <f>IF(Inschrijving!G41="","",Inschrijving!D41)</f>
        <v/>
      </c>
      <c r="AK40" s="73" t="str">
        <f>IF(Inschrijving!G41="","",IF(Inschrijving!G41&gt;Inschrijving!I41,1,0))</f>
        <v/>
      </c>
      <c r="AL40" s="73" t="str">
        <f>IF(Inschrijving!G41="","",IF(Inschrijving!G41&lt;Inschrijving!I41,1,0))</f>
        <v/>
      </c>
      <c r="AM40" s="73" t="str">
        <f>IF(Inschrijving!G41="","",IF(Inschrijving!G41=Inschrijving!I41,1,0))</f>
        <v/>
      </c>
      <c r="AN40" s="73" t="str">
        <f>IF(Inschrijving!I41="","",Inschrijving!F41)</f>
        <v/>
      </c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G40" t="str">
        <f>BF28</f>
        <v>België</v>
      </c>
      <c r="BH40" t="str">
        <f>BF34</f>
        <v>Turkije</v>
      </c>
      <c r="BI40" t="str">
        <f>Groepsloting!B230</f>
        <v>Frimpong</v>
      </c>
    </row>
    <row r="41" spans="1:61" ht="14.25" customHeight="1">
      <c r="A41" s="135">
        <v>33</v>
      </c>
      <c r="B41" s="140">
        <v>45469</v>
      </c>
      <c r="C41" s="141" t="s">
        <v>337</v>
      </c>
      <c r="D41" s="142" t="str">
        <f>Groepsloting!B27</f>
        <v>Slowakije</v>
      </c>
      <c r="E41" s="143" t="s">
        <v>5</v>
      </c>
      <c r="F41" s="142" t="str">
        <f>Groepsloting!B28</f>
        <v>Roemenië</v>
      </c>
      <c r="G41" s="22"/>
      <c r="H41" s="150" t="s">
        <v>5</v>
      </c>
      <c r="I41" s="22"/>
      <c r="J41" s="24">
        <f t="shared" si="26"/>
        <v>0</v>
      </c>
      <c r="K41" s="84"/>
      <c r="L41" s="82"/>
      <c r="M41" s="193" t="str">
        <f>Groepsloting!$B$119</f>
        <v>11. Wie wordt topscoorder van Nederland?  (5 punten)</v>
      </c>
      <c r="N41" s="193"/>
      <c r="O41" s="193"/>
      <c r="P41" s="193"/>
      <c r="Q41" s="193"/>
      <c r="R41" s="193"/>
      <c r="S41" s="193"/>
      <c r="T41" s="193"/>
      <c r="U41" s="193"/>
      <c r="V41" s="193"/>
      <c r="W41" s="89"/>
      <c r="X41" s="82"/>
      <c r="Y41" s="82"/>
      <c r="AH41" s="4"/>
      <c r="AI41" s="4"/>
      <c r="AJ41" s="73"/>
      <c r="AK41" s="73"/>
      <c r="AL41" s="73"/>
      <c r="AM41" s="73"/>
      <c r="AN41" s="73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G41" t="str">
        <f t="shared" ref="BG41:BG43" si="30">BF29</f>
        <v>Slowakije</v>
      </c>
      <c r="BH41" t="str">
        <f t="shared" ref="BH41:BH43" si="31">BF35</f>
        <v>Georgië</v>
      </c>
      <c r="BI41" t="str">
        <f>Groepsloting!B231</f>
        <v>Geertruida</v>
      </c>
    </row>
    <row r="42" spans="1:61" ht="14.25" customHeight="1">
      <c r="A42" s="116"/>
      <c r="B42" s="136"/>
      <c r="C42" s="76"/>
      <c r="D42" s="77"/>
      <c r="E42" s="78"/>
      <c r="F42" s="77"/>
      <c r="G42" s="79"/>
      <c r="H42" s="78"/>
      <c r="I42" s="79"/>
      <c r="J42" s="79"/>
      <c r="K42" s="84"/>
      <c r="L42" s="82"/>
      <c r="M42" s="171"/>
      <c r="N42" s="180"/>
      <c r="O42" s="181"/>
      <c r="P42" s="181"/>
      <c r="Q42" s="181"/>
      <c r="R42" s="181"/>
      <c r="S42" s="181"/>
      <c r="T42" s="181"/>
      <c r="U42" s="181"/>
      <c r="V42" s="182"/>
      <c r="W42" s="89"/>
      <c r="X42" s="82"/>
      <c r="Y42" s="82"/>
      <c r="Z42" s="19"/>
      <c r="AA42" s="19" t="s">
        <v>10</v>
      </c>
      <c r="AB42" s="20" t="s">
        <v>18</v>
      </c>
      <c r="AC42" s="20" t="s">
        <v>19</v>
      </c>
      <c r="AD42" s="20" t="s">
        <v>20</v>
      </c>
      <c r="AE42" s="20" t="s">
        <v>21</v>
      </c>
      <c r="AF42" s="20" t="s">
        <v>22</v>
      </c>
      <c r="AG42" s="20" t="s">
        <v>338</v>
      </c>
      <c r="AH42" s="4"/>
      <c r="AI42" s="4" t="s">
        <v>71</v>
      </c>
      <c r="AJ42" s="74" t="s">
        <v>54</v>
      </c>
      <c r="AK42" s="74"/>
      <c r="AL42" s="74"/>
      <c r="AM42" s="74"/>
      <c r="AN42" s="74" t="s">
        <v>56</v>
      </c>
      <c r="AO42" s="4"/>
      <c r="AP42" s="124" t="s">
        <v>71</v>
      </c>
      <c r="AQ42" s="124"/>
      <c r="AR42" s="125" t="s">
        <v>58</v>
      </c>
      <c r="AS42" s="125" t="s">
        <v>65</v>
      </c>
      <c r="AT42" s="125" t="s">
        <v>62</v>
      </c>
      <c r="AU42" s="125" t="s">
        <v>63</v>
      </c>
      <c r="AV42" s="125" t="s">
        <v>64</v>
      </c>
      <c r="AW42" s="125" t="s">
        <v>59</v>
      </c>
      <c r="AX42" s="125" t="s">
        <v>60</v>
      </c>
      <c r="AY42" s="125" t="s">
        <v>61</v>
      </c>
      <c r="AZ42" s="125" t="s">
        <v>338</v>
      </c>
      <c r="BA42" s="124" t="s">
        <v>72</v>
      </c>
      <c r="BG42" t="str">
        <f t="shared" si="30"/>
        <v>Roemenië</v>
      </c>
      <c r="BH42" t="str">
        <f t="shared" si="31"/>
        <v>Portugal</v>
      </c>
      <c r="BI42" t="str">
        <f>Groepsloting!B232</f>
        <v>Van de Ven</v>
      </c>
    </row>
    <row r="43" spans="1:61" ht="14.25" customHeight="1">
      <c r="A43" s="135"/>
      <c r="B43" s="144" t="str">
        <f>Groepsloting!$B$55</f>
        <v>Groep F</v>
      </c>
      <c r="C43" s="145"/>
      <c r="D43" s="146" t="str">
        <f>Groepsloting!$B$64</f>
        <v>Wedstrijd</v>
      </c>
      <c r="E43" s="147"/>
      <c r="F43" s="146"/>
      <c r="G43" s="146" t="str">
        <f>Groepsloting!$B$65</f>
        <v>Uitslag</v>
      </c>
      <c r="H43" s="146"/>
      <c r="I43" s="146"/>
      <c r="J43" s="170" t="str">
        <f>Groepsloting!$B$66</f>
        <v>Toto</v>
      </c>
      <c r="K43" s="84"/>
      <c r="L43" s="90"/>
      <c r="M43" s="171"/>
      <c r="N43" s="172"/>
      <c r="O43" s="172"/>
      <c r="P43" s="172"/>
      <c r="Q43" s="172"/>
      <c r="R43" s="172"/>
      <c r="S43" s="172"/>
      <c r="T43" s="172"/>
      <c r="U43" s="172"/>
      <c r="V43" s="172"/>
      <c r="W43" s="89"/>
      <c r="X43" s="82"/>
      <c r="Y43" s="82"/>
      <c r="Z43" s="15">
        <v>1</v>
      </c>
      <c r="AA43" s="16" t="str">
        <f t="shared" ref="AA43:AF46" si="32">VLOOKUP($Z43,$AP$43:$AY$46,AQ$1,0)</f>
        <v>Portugal</v>
      </c>
      <c r="AB43" s="16">
        <f t="shared" si="32"/>
        <v>0</v>
      </c>
      <c r="AC43" s="16">
        <f t="shared" si="32"/>
        <v>0</v>
      </c>
      <c r="AD43" s="16">
        <f t="shared" si="32"/>
        <v>0</v>
      </c>
      <c r="AE43" s="16">
        <f t="shared" si="32"/>
        <v>0</v>
      </c>
      <c r="AF43" s="16">
        <f t="shared" si="32"/>
        <v>0</v>
      </c>
      <c r="AG43" s="16">
        <f>VLOOKUP($Z43,$AP$43:$BA$46,AZ$1,0)</f>
        <v>0</v>
      </c>
      <c r="AH43" s="4"/>
      <c r="AI43" s="4"/>
      <c r="AJ43" s="73" t="str">
        <f>IF(Inschrijving!G44="","",Inschrijving!D44)</f>
        <v/>
      </c>
      <c r="AK43" s="73" t="str">
        <f>IF(Inschrijving!G44="","",IF(Inschrijving!G44&gt;Inschrijving!I44,1,0))</f>
        <v/>
      </c>
      <c r="AL43" s="73" t="str">
        <f>IF(Inschrijving!G44="","",IF(Inschrijving!G44&lt;Inschrijving!I44,1,0))</f>
        <v/>
      </c>
      <c r="AM43" s="73" t="str">
        <f>IF(Inschrijving!G44="","",IF(Inschrijving!G44=Inschrijving!I44,1,0))</f>
        <v/>
      </c>
      <c r="AN43" s="73" t="str">
        <f>IF(Inschrijving!I44="","",Inschrijving!F44)</f>
        <v/>
      </c>
      <c r="AO43" s="4"/>
      <c r="AP43" s="124">
        <f>RANK(BA43,$BA$43:$BA$46,1)</f>
        <v>4</v>
      </c>
      <c r="AQ43" s="124" t="str">
        <f>Groepsloting!B32</f>
        <v>Turkije</v>
      </c>
      <c r="AR43" s="125">
        <f>COUNTIF(AJ$1:AJ$52,AQ43)+COUNTIF(AN$1:AN$52,AQ43)</f>
        <v>0</v>
      </c>
      <c r="AS43" s="125">
        <f>AW43*3+AX43</f>
        <v>0</v>
      </c>
      <c r="AT43" s="125">
        <f>SUMIF($D$44:$D$49,AQ43,$G$44:$G$49)+SUMIF($F$44:$F$49,AQ43,$I$44:$I$49)</f>
        <v>0</v>
      </c>
      <c r="AU43" s="125">
        <f>SUMIF($D$44:$D$49,AQ43,$I$44:$I$49)+SUMIF($F$44:$F$49,AQ43,$G$44:$G$49)</f>
        <v>0</v>
      </c>
      <c r="AV43" s="125">
        <f>AT43-AU43</f>
        <v>0</v>
      </c>
      <c r="AW43" s="125">
        <f>SUMIF(AJ$1:AJ$52,AQ43,AK$1:AK$52)+SUMIF(AN$1:AN$52,AQ43,AL$1:AL$52)</f>
        <v>0</v>
      </c>
      <c r="AX43" s="125">
        <f>SUMIF(AJ$1:AJ$52,AQ43,AM$1:AM$52)+SUMIF(AN$1:AN$52,AQ43,AM$1:AM$52)</f>
        <v>0</v>
      </c>
      <c r="AY43" s="125">
        <f>AR43-SUM(AW43:AX43)</f>
        <v>0</v>
      </c>
      <c r="AZ43" s="127">
        <f>SUMIF($F$44:$F$49,AQ43,$I$44:$I$49)</f>
        <v>0</v>
      </c>
      <c r="BA43" s="124">
        <f>RANK(AS43,$AS$43:$AS$46)+RANK(AV43,$AV$43:$AV$46,0)/10+RANK(AT43,$AT$43:$AT$46,0)/100+RANK(AZ43,$AZ$43:$AZ$46,0)/1000+VLOOKUP(AQ43,$BG$3:$BH$26,2,0)/100000</f>
        <v>1.1113999999999999</v>
      </c>
      <c r="BG43" t="str">
        <f t="shared" si="30"/>
        <v>Oekraïne</v>
      </c>
      <c r="BH43" t="str">
        <f t="shared" si="31"/>
        <v>Tsjechië</v>
      </c>
      <c r="BI43" t="str">
        <f>Groepsloting!B233</f>
        <v>Van Dijk</v>
      </c>
    </row>
    <row r="44" spans="1:61" ht="14.25" customHeight="1">
      <c r="A44" s="135">
        <v>11</v>
      </c>
      <c r="B44" s="140">
        <v>45461</v>
      </c>
      <c r="C44" s="141" t="s">
        <v>337</v>
      </c>
      <c r="D44" s="142" t="str">
        <f>Groepsloting!B32</f>
        <v>Turkije</v>
      </c>
      <c r="E44" s="143" t="s">
        <v>5</v>
      </c>
      <c r="F44" s="142" t="str">
        <f>Groepsloting!B33</f>
        <v>Georgië</v>
      </c>
      <c r="G44" s="22"/>
      <c r="H44" s="150" t="s">
        <v>5</v>
      </c>
      <c r="I44" s="22"/>
      <c r="J44" s="24">
        <f t="shared" ref="J44:J49" si="33">IF(AND(G44="",I44=""),0,IF(G44&gt;I44,1,IF(G44&lt;I44,2,3)))</f>
        <v>0</v>
      </c>
      <c r="K44" s="84"/>
      <c r="L44" s="82"/>
      <c r="M44" s="186" t="str">
        <f>Groepsloting!$B$121</f>
        <v>Puntentelling</v>
      </c>
      <c r="N44" s="186"/>
      <c r="O44" s="186"/>
      <c r="P44" s="186"/>
      <c r="Q44" s="186"/>
      <c r="R44" s="186"/>
      <c r="S44" s="186"/>
      <c r="T44" s="186"/>
      <c r="U44" s="186"/>
      <c r="V44" s="186"/>
      <c r="W44" s="89"/>
      <c r="X44" s="82"/>
      <c r="Y44" s="82"/>
      <c r="Z44" s="15">
        <v>2</v>
      </c>
      <c r="AA44" s="16" t="str">
        <f t="shared" si="32"/>
        <v>Georgië</v>
      </c>
      <c r="AB44" s="16">
        <f t="shared" si="32"/>
        <v>0</v>
      </c>
      <c r="AC44" s="16">
        <f t="shared" si="32"/>
        <v>0</v>
      </c>
      <c r="AD44" s="16">
        <f t="shared" si="32"/>
        <v>0</v>
      </c>
      <c r="AE44" s="16">
        <f t="shared" si="32"/>
        <v>0</v>
      </c>
      <c r="AF44" s="16">
        <f t="shared" si="32"/>
        <v>0</v>
      </c>
      <c r="AG44" s="16">
        <f>VLOOKUP($Z44,$AP$43:$BA$46,AZ$1,0)</f>
        <v>0</v>
      </c>
      <c r="AH44" s="4"/>
      <c r="AI44" s="4"/>
      <c r="AJ44" s="73" t="str">
        <f>IF(Inschrijving!G45="","",Inschrijving!D45)</f>
        <v/>
      </c>
      <c r="AK44" s="73" t="str">
        <f>IF(Inschrijving!G45="","",IF(Inschrijving!G45&gt;Inschrijving!I45,1,0))</f>
        <v/>
      </c>
      <c r="AL44" s="73" t="str">
        <f>IF(Inschrijving!G45="","",IF(Inschrijving!G45&lt;Inschrijving!I45,1,0))</f>
        <v/>
      </c>
      <c r="AM44" s="73" t="str">
        <f>IF(Inschrijving!G45="","",IF(Inschrijving!G45=Inschrijving!I45,1,0))</f>
        <v/>
      </c>
      <c r="AN44" s="73" t="str">
        <f>IF(Inschrijving!I45="","",Inschrijving!F45)</f>
        <v/>
      </c>
      <c r="AO44" s="4"/>
      <c r="AP44" s="124">
        <f>RANK(BA44,$BA$43:$BA$46,1)</f>
        <v>2</v>
      </c>
      <c r="AQ44" s="124" t="str">
        <f>Groepsloting!B33</f>
        <v>Georgië</v>
      </c>
      <c r="AR44" s="125">
        <f>COUNTIF(AJ$1:AJ$52,AQ44)+COUNTIF(AN$1:AN$52,AQ44)</f>
        <v>0</v>
      </c>
      <c r="AS44" s="125">
        <f>AW44*3+AX44</f>
        <v>0</v>
      </c>
      <c r="AT44" s="125">
        <f>SUMIF($D$44:$D$49,AQ44,$G$44:$G$49)+SUMIF($F$44:$F$49,AQ44,$I$44:$I$49)</f>
        <v>0</v>
      </c>
      <c r="AU44" s="125">
        <f>SUMIF($D$44:$D$49,AQ44,$I$44:$I$49)+SUMIF($F$44:$F$49,AQ44,$G$44:$G$49)</f>
        <v>0</v>
      </c>
      <c r="AV44" s="125">
        <f>AT44-AU44</f>
        <v>0</v>
      </c>
      <c r="AW44" s="125">
        <f>SUMIF(AJ$1:AJ$52,AQ44,AK$1:AK$52)+SUMIF(AN$1:AN$52,AQ44,AL$1:AL$52)</f>
        <v>0</v>
      </c>
      <c r="AX44" s="125">
        <f>SUMIF(AJ$1:AJ$52,AQ44,AM$1:AM$52)+SUMIF(AN$1:AN$52,AQ44,AM$1:AM$52)</f>
        <v>0</v>
      </c>
      <c r="AY44" s="125">
        <f>AR44-SUM(AW44:AX44)</f>
        <v>0</v>
      </c>
      <c r="AZ44" s="127">
        <f>SUMIF($F$44:$F$49,AQ44,$I$44:$I$49)</f>
        <v>0</v>
      </c>
      <c r="BA44" s="124">
        <f t="shared" ref="BA44:BA46" si="34">RANK(AS44,$AS$43:$AS$46)+RANK(AV44,$AV$43:$AV$46,0)/10+RANK(AT44,$AT$43:$AT$46,0)/100+RANK(AZ44,$AZ$43:$AZ$46,0)/1000+VLOOKUP(AQ44,$BG$3:$BH$26,2,0)/100000</f>
        <v>1.1110500000000001</v>
      </c>
      <c r="BG44" t="str">
        <f>BF34</f>
        <v>Turkije</v>
      </c>
      <c r="BI44" t="str">
        <f>Groepsloting!B234</f>
        <v>Gravenberch</v>
      </c>
    </row>
    <row r="45" spans="1:61" ht="14.25" customHeight="1">
      <c r="A45" s="135">
        <v>12</v>
      </c>
      <c r="B45" s="140">
        <v>45461</v>
      </c>
      <c r="C45" s="141" t="s">
        <v>103</v>
      </c>
      <c r="D45" s="142" t="str">
        <f>Groepsloting!B34</f>
        <v>Portugal</v>
      </c>
      <c r="E45" s="143" t="s">
        <v>5</v>
      </c>
      <c r="F45" s="142" t="str">
        <f>Groepsloting!B35</f>
        <v>Tsjechië</v>
      </c>
      <c r="G45" s="22"/>
      <c r="H45" s="150" t="s">
        <v>5</v>
      </c>
      <c r="I45" s="22"/>
      <c r="J45" s="24">
        <f t="shared" si="33"/>
        <v>0</v>
      </c>
      <c r="K45" s="158"/>
      <c r="L45" s="82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89"/>
      <c r="X45" s="82"/>
      <c r="Y45" s="82"/>
      <c r="Z45" s="15">
        <v>3</v>
      </c>
      <c r="AA45" s="16" t="str">
        <f t="shared" si="32"/>
        <v>Tsjechië</v>
      </c>
      <c r="AB45" s="16">
        <f t="shared" si="32"/>
        <v>0</v>
      </c>
      <c r="AC45" s="16">
        <f t="shared" si="32"/>
        <v>0</v>
      </c>
      <c r="AD45" s="16">
        <f t="shared" si="32"/>
        <v>0</v>
      </c>
      <c r="AE45" s="16">
        <f t="shared" si="32"/>
        <v>0</v>
      </c>
      <c r="AF45" s="16">
        <f t="shared" si="32"/>
        <v>0</v>
      </c>
      <c r="AG45" s="16">
        <f>VLOOKUP($Z45,$AP$43:$BA$46,AZ$1,0)</f>
        <v>0</v>
      </c>
      <c r="AH45" s="4"/>
      <c r="AI45" s="4"/>
      <c r="AJ45" s="73" t="str">
        <f>IF(Inschrijving!G46="","",Inschrijving!D46)</f>
        <v/>
      </c>
      <c r="AK45" s="73" t="str">
        <f>IF(Inschrijving!G46="","",IF(Inschrijving!G46&gt;Inschrijving!I46,1,0))</f>
        <v/>
      </c>
      <c r="AL45" s="73" t="str">
        <f>IF(Inschrijving!G46="","",IF(Inschrijving!G46&lt;Inschrijving!I46,1,0))</f>
        <v/>
      </c>
      <c r="AM45" s="73" t="str">
        <f>IF(Inschrijving!G46="","",IF(Inschrijving!G46=Inschrijving!I46,1,0))</f>
        <v/>
      </c>
      <c r="AN45" s="73" t="str">
        <f>IF(Inschrijving!I46="","",Inschrijving!F46)</f>
        <v/>
      </c>
      <c r="AO45" s="4"/>
      <c r="AP45" s="124">
        <f>RANK(BA45,$BA$43:$BA$46,1)</f>
        <v>1</v>
      </c>
      <c r="AQ45" s="124" t="str">
        <f>Groepsloting!B34</f>
        <v>Portugal</v>
      </c>
      <c r="AR45" s="125">
        <f>COUNTIF(AJ$1:AJ$52,AQ45)+COUNTIF(AN$1:AN$52,AQ45)</f>
        <v>0</v>
      </c>
      <c r="AS45" s="125">
        <f>AW45*3+AX45</f>
        <v>0</v>
      </c>
      <c r="AT45" s="125">
        <f>SUMIF($D$44:$D$49,AQ45,$G$44:$G$49)+SUMIF($F$44:$F$49,AQ45,$I$44:$I$49)</f>
        <v>0</v>
      </c>
      <c r="AU45" s="125">
        <f>SUMIF($D$44:$D$49,AQ45,$I$44:$I$49)+SUMIF($F$44:$F$49,AQ45,$G$44:$G$49)</f>
        <v>0</v>
      </c>
      <c r="AV45" s="125">
        <f>AT45-AU45</f>
        <v>0</v>
      </c>
      <c r="AW45" s="125">
        <f>SUMIF(AJ$1:AJ$52,AQ45,AK$1:AK$52)+SUMIF(AN$1:AN$52,AQ45,AL$1:AL$52)</f>
        <v>0</v>
      </c>
      <c r="AX45" s="125">
        <f>SUMIF(AJ$1:AJ$52,AQ45,AM$1:AM$52)+SUMIF(AN$1:AN$52,AQ45,AM$1:AM$52)</f>
        <v>0</v>
      </c>
      <c r="AY45" s="125">
        <f>AR45-SUM(AW45:AX45)</f>
        <v>0</v>
      </c>
      <c r="AZ45" s="127">
        <f>SUMIF($F$44:$F$49,AQ45,$I$44:$I$49)</f>
        <v>0</v>
      </c>
      <c r="BA45" s="124">
        <f t="shared" si="34"/>
        <v>1.1110199999999999</v>
      </c>
      <c r="BG45" t="str">
        <f t="shared" ref="BG45:BG47" si="35">BF35</f>
        <v>Georgië</v>
      </c>
      <c r="BI45" t="str">
        <f>Groepsloting!B235</f>
        <v>F. de Jong</v>
      </c>
    </row>
    <row r="46" spans="1:61" ht="14.25" customHeight="1">
      <c r="A46" s="135">
        <v>23</v>
      </c>
      <c r="B46" s="140">
        <v>45465</v>
      </c>
      <c r="C46" s="141" t="s">
        <v>337</v>
      </c>
      <c r="D46" s="142" t="str">
        <f>D44</f>
        <v>Turkije</v>
      </c>
      <c r="E46" s="143" t="s">
        <v>5</v>
      </c>
      <c r="F46" s="142" t="str">
        <f>D45</f>
        <v>Portugal</v>
      </c>
      <c r="G46" s="22"/>
      <c r="H46" s="150" t="s">
        <v>5</v>
      </c>
      <c r="I46" s="22"/>
      <c r="J46" s="119">
        <f t="shared" si="33"/>
        <v>0</v>
      </c>
      <c r="K46" s="84"/>
      <c r="L46" s="90"/>
      <c r="M46" s="110" t="str">
        <f>Groepsloting!$B$122</f>
        <v>• Het invulblad bepaalt automatisch welke landen doorgaan naar de volgende ronde,</v>
      </c>
      <c r="N46" s="91"/>
      <c r="O46" s="91"/>
      <c r="P46" s="91"/>
      <c r="Q46" s="91"/>
      <c r="R46" s="91"/>
      <c r="S46" s="91"/>
      <c r="T46" s="91"/>
      <c r="U46" s="91"/>
      <c r="V46" s="91"/>
      <c r="W46" s="89"/>
      <c r="X46" s="82"/>
      <c r="Y46" s="82"/>
      <c r="Z46" s="15">
        <v>4</v>
      </c>
      <c r="AA46" s="16" t="str">
        <f t="shared" si="32"/>
        <v>Turkije</v>
      </c>
      <c r="AB46" s="16">
        <f t="shared" si="32"/>
        <v>0</v>
      </c>
      <c r="AC46" s="16">
        <f t="shared" si="32"/>
        <v>0</v>
      </c>
      <c r="AD46" s="16">
        <f t="shared" si="32"/>
        <v>0</v>
      </c>
      <c r="AE46" s="16">
        <f t="shared" si="32"/>
        <v>0</v>
      </c>
      <c r="AF46" s="16">
        <f t="shared" si="32"/>
        <v>0</v>
      </c>
      <c r="AG46" s="16">
        <f>VLOOKUP($Z46,$AP$43:$BA$46,AZ$1,0)</f>
        <v>0</v>
      </c>
      <c r="AH46" s="4"/>
      <c r="AI46" s="4"/>
      <c r="AJ46" s="73" t="str">
        <f>IF(Inschrijving!G47="","",Inschrijving!D47)</f>
        <v/>
      </c>
      <c r="AK46" s="73" t="str">
        <f>IF(Inschrijving!G47="","",IF(Inschrijving!G47&gt;Inschrijving!I47,1,0))</f>
        <v/>
      </c>
      <c r="AL46" s="73" t="str">
        <f>IF(Inschrijving!G47="","",IF(Inschrijving!G47&lt;Inschrijving!I47,1,0))</f>
        <v/>
      </c>
      <c r="AM46" s="73" t="str">
        <f>IF(Inschrijving!G47="","",IF(Inschrijving!G47=Inschrijving!I47,1,0))</f>
        <v/>
      </c>
      <c r="AN46" s="73" t="str">
        <f>IF(Inschrijving!I47="","",Inschrijving!F47)</f>
        <v/>
      </c>
      <c r="AO46" s="4"/>
      <c r="AP46" s="124">
        <f>RANK(BA46,$BA$43:$BA$46,1)</f>
        <v>3</v>
      </c>
      <c r="AQ46" s="124" t="str">
        <f>Groepsloting!B35</f>
        <v>Tsjechië</v>
      </c>
      <c r="AR46" s="125">
        <f>COUNTIF(AJ$1:AJ$52,AQ46)+COUNTIF(AN$1:AN$52,AQ46)</f>
        <v>0</v>
      </c>
      <c r="AS46" s="125">
        <f>AW46*3+AX46</f>
        <v>0</v>
      </c>
      <c r="AT46" s="125">
        <f>SUMIF($D$44:$D$49,AQ46,$G$44:$G$49)+SUMIF($F$44:$F$49,AQ46,$I$44:$I$49)</f>
        <v>0</v>
      </c>
      <c r="AU46" s="125">
        <f>SUMIF($D$44:$D$49,AQ46,$I$44:$I$49)+SUMIF($F$44:$F$49,AQ46,$G$44:$G$49)</f>
        <v>0</v>
      </c>
      <c r="AV46" s="125">
        <f>AT46-AU46</f>
        <v>0</v>
      </c>
      <c r="AW46" s="125">
        <f>SUMIF(AJ$1:AJ$52,AQ46,AK$1:AK$52)+SUMIF(AN$1:AN$52,AQ46,AL$1:AL$52)</f>
        <v>0</v>
      </c>
      <c r="AX46" s="125">
        <f>SUMIF(AJ$1:AJ$52,AQ46,AM$1:AM$52)+SUMIF(AN$1:AN$52,AQ46,AM$1:AM$52)</f>
        <v>0</v>
      </c>
      <c r="AY46" s="125">
        <f>AR46-SUM(AW46:AX46)</f>
        <v>0</v>
      </c>
      <c r="AZ46" s="127">
        <f>SUMIF($F$44:$F$49,AQ46,$I$44:$I$49)</f>
        <v>0</v>
      </c>
      <c r="BA46" s="124">
        <f t="shared" si="34"/>
        <v>1.11113</v>
      </c>
      <c r="BG46" t="str">
        <f t="shared" si="35"/>
        <v>Portugal</v>
      </c>
      <c r="BI46" t="str">
        <f>Groepsloting!B236</f>
        <v>Koopmeiners</v>
      </c>
    </row>
    <row r="47" spans="1:61" ht="14.25" customHeight="1">
      <c r="A47" s="135">
        <v>24</v>
      </c>
      <c r="B47" s="140">
        <v>45465</v>
      </c>
      <c r="C47" s="141" t="s">
        <v>336</v>
      </c>
      <c r="D47" s="142" t="str">
        <f>F44</f>
        <v>Georgië</v>
      </c>
      <c r="E47" s="143" t="s">
        <v>5</v>
      </c>
      <c r="F47" s="142" t="str">
        <f>F45</f>
        <v>Tsjechië</v>
      </c>
      <c r="G47" s="22"/>
      <c r="H47" s="150" t="s">
        <v>5</v>
      </c>
      <c r="I47" s="22"/>
      <c r="J47" s="120">
        <f t="shared" si="33"/>
        <v>0</v>
      </c>
      <c r="K47" s="84"/>
      <c r="L47" s="82"/>
      <c r="M47" s="110" t="str">
        <f>Groepsloting!$B$123</f>
        <v>behalve bij een gelijke stand in de groepsfase en bij gelijkspel in de 'finales'.</v>
      </c>
      <c r="N47" s="92"/>
      <c r="O47" s="92"/>
      <c r="P47" s="92"/>
      <c r="Q47" s="92"/>
      <c r="R47" s="92"/>
      <c r="S47" s="92"/>
      <c r="T47" s="92"/>
      <c r="U47" s="92"/>
      <c r="V47" s="92"/>
      <c r="W47" s="89"/>
      <c r="X47" s="82"/>
      <c r="Y47" s="82"/>
      <c r="AH47" s="4"/>
      <c r="AI47" s="4"/>
      <c r="AJ47" s="73" t="str">
        <f>IF(Inschrijving!G48="","",Inschrijving!D48)</f>
        <v/>
      </c>
      <c r="AK47" s="73" t="str">
        <f>IF(Inschrijving!G48="","",IF(Inschrijving!G48&gt;Inschrijving!I48,1,0))</f>
        <v/>
      </c>
      <c r="AL47" s="73" t="str">
        <f>IF(Inschrijving!G48="","",IF(Inschrijving!G48&lt;Inschrijving!I48,1,0))</f>
        <v/>
      </c>
      <c r="AM47" s="73" t="str">
        <f>IF(Inschrijving!G48="","",IF(Inschrijving!G48=Inschrijving!I48,1,0))</f>
        <v/>
      </c>
      <c r="AN47" s="73" t="str">
        <f>IF(Inschrijving!I48="","",Inschrijving!F48)</f>
        <v/>
      </c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G47" t="str">
        <f t="shared" si="35"/>
        <v>Tsjechië</v>
      </c>
      <c r="BI47" t="str">
        <f>Groepsloting!B237</f>
        <v>Reijnders</v>
      </c>
    </row>
    <row r="48" spans="1:61" ht="14.25" customHeight="1">
      <c r="A48" s="135">
        <v>36</v>
      </c>
      <c r="B48" s="140">
        <v>45469</v>
      </c>
      <c r="C48" s="141" t="s">
        <v>103</v>
      </c>
      <c r="D48" s="142" t="str">
        <f>Groepsloting!B35</f>
        <v>Tsjechië</v>
      </c>
      <c r="E48" s="143" t="s">
        <v>5</v>
      </c>
      <c r="F48" s="142" t="str">
        <f>Groepsloting!B32</f>
        <v>Turkije</v>
      </c>
      <c r="G48" s="22"/>
      <c r="H48" s="150" t="s">
        <v>5</v>
      </c>
      <c r="I48" s="22"/>
      <c r="J48" s="120">
        <f t="shared" si="33"/>
        <v>0</v>
      </c>
      <c r="K48" s="84"/>
      <c r="L48" s="82"/>
      <c r="M48" s="110" t="str">
        <f>Groepsloting!$B$124</f>
        <v>• Het invulblad geeft aan waar je eventueel een winnaar handmatig moet invullen.</v>
      </c>
      <c r="N48" s="92"/>
      <c r="O48" s="92"/>
      <c r="P48" s="92"/>
      <c r="Q48" s="92"/>
      <c r="R48" s="92"/>
      <c r="S48" s="92"/>
      <c r="T48" s="92"/>
      <c r="U48" s="92"/>
      <c r="V48" s="92"/>
      <c r="W48" s="89"/>
      <c r="X48" s="82"/>
      <c r="Y48" s="82"/>
      <c r="AH48" s="4"/>
      <c r="AI48" s="4"/>
      <c r="AJ48" s="73" t="str">
        <f>IF(Inschrijving!G49="","",Inschrijving!D49)</f>
        <v/>
      </c>
      <c r="AK48" s="73" t="str">
        <f>IF(Inschrijving!G49="","",IF(Inschrijving!G49&gt;Inschrijving!I49,1,0))</f>
        <v/>
      </c>
      <c r="AL48" s="73" t="str">
        <f>IF(Inschrijving!G49="","",IF(Inschrijving!G49&lt;Inschrijving!I49,1,0))</f>
        <v/>
      </c>
      <c r="AM48" s="73" t="str">
        <f>IF(Inschrijving!G49="","",IF(Inschrijving!G49=Inschrijving!I49,1,0))</f>
        <v/>
      </c>
      <c r="AN48" s="73" t="str">
        <f>IF(Inschrijving!I49="","",Inschrijving!F49)</f>
        <v/>
      </c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I48" t="str">
        <f>Groepsloting!B238</f>
        <v>Schouten</v>
      </c>
    </row>
    <row r="49" spans="1:61" ht="14.25" customHeight="1">
      <c r="A49" s="135">
        <v>35</v>
      </c>
      <c r="B49" s="140">
        <v>45469</v>
      </c>
      <c r="C49" s="141" t="s">
        <v>103</v>
      </c>
      <c r="D49" s="142" t="str">
        <f>Groepsloting!B33</f>
        <v>Georgië</v>
      </c>
      <c r="E49" s="143" t="s">
        <v>5</v>
      </c>
      <c r="F49" s="142" t="str">
        <f>Groepsloting!B34</f>
        <v>Portugal</v>
      </c>
      <c r="G49" s="22"/>
      <c r="H49" s="150" t="s">
        <v>5</v>
      </c>
      <c r="I49" s="22"/>
      <c r="J49" s="24">
        <f t="shared" si="33"/>
        <v>0</v>
      </c>
      <c r="K49" s="84"/>
      <c r="L49" s="90"/>
      <c r="M49" s="110" t="str">
        <f>Groepsloting!$B$125</f>
        <v xml:space="preserve"> </v>
      </c>
      <c r="N49" s="82"/>
      <c r="O49" s="82"/>
      <c r="P49" s="82"/>
      <c r="Q49" s="82"/>
      <c r="R49" s="82"/>
      <c r="S49" s="82"/>
      <c r="T49" s="82"/>
      <c r="U49" s="82"/>
      <c r="V49" s="82"/>
      <c r="W49" s="89"/>
      <c r="X49" s="82"/>
      <c r="Y49" s="82"/>
      <c r="AH49" s="4"/>
      <c r="AI49" s="4"/>
      <c r="AJ49" s="4"/>
      <c r="AK49" s="4"/>
      <c r="AL49" s="4"/>
      <c r="AM49" s="4"/>
      <c r="AN49" s="4"/>
      <c r="AO49" s="4"/>
      <c r="AP49" s="4"/>
      <c r="AQ49" s="4" t="s">
        <v>460</v>
      </c>
      <c r="AR49" s="4"/>
      <c r="AS49" s="4" t="s">
        <v>344</v>
      </c>
      <c r="AT49" s="4" t="s">
        <v>346</v>
      </c>
      <c r="AU49" s="4"/>
      <c r="AV49" s="4" t="s">
        <v>345</v>
      </c>
      <c r="AW49" s="4" t="s">
        <v>347</v>
      </c>
      <c r="AX49" s="4"/>
      <c r="AY49" s="4"/>
      <c r="AZ49" s="4"/>
      <c r="BG49" t="s">
        <v>467</v>
      </c>
      <c r="BH49" t="s">
        <v>466</v>
      </c>
      <c r="BI49" t="str">
        <f>Groepsloting!B239</f>
        <v>Simons</v>
      </c>
    </row>
    <row r="50" spans="1:61" ht="14.25" customHeight="1">
      <c r="A50" s="116"/>
      <c r="B50" s="151"/>
      <c r="C50" s="152"/>
      <c r="D50" s="78"/>
      <c r="E50" s="78"/>
      <c r="F50" s="77"/>
      <c r="G50" s="79"/>
      <c r="H50" s="78"/>
      <c r="I50" s="79"/>
      <c r="J50" s="79"/>
      <c r="K50" s="84"/>
      <c r="L50" s="82"/>
      <c r="M50" s="110" t="str">
        <f>Groepsloting!$B$126</f>
        <v xml:space="preserve">• Vanaf de achtste finales tot en met de finale geldt de uitslag na een eventueel verlengen van de wedstrijd, maar </v>
      </c>
      <c r="N50" s="82"/>
      <c r="O50" s="82"/>
      <c r="P50" s="82"/>
      <c r="Q50" s="82"/>
      <c r="R50" s="82"/>
      <c r="S50" s="82"/>
      <c r="T50" s="82"/>
      <c r="U50" s="82"/>
      <c r="V50" s="82"/>
      <c r="W50" s="89"/>
      <c r="X50" s="82"/>
      <c r="Y50" s="82"/>
      <c r="AH50" s="4"/>
      <c r="AI50" s="4"/>
      <c r="AJ50" s="12"/>
      <c r="AK50" s="12"/>
      <c r="AL50" s="12"/>
      <c r="AM50" s="12"/>
      <c r="AN50" s="12"/>
      <c r="AO50" s="73" t="s">
        <v>453</v>
      </c>
      <c r="AP50" s="127" t="s">
        <v>450</v>
      </c>
      <c r="AQ50" s="127"/>
      <c r="AR50" s="125" t="s">
        <v>58</v>
      </c>
      <c r="AS50" s="125" t="s">
        <v>65</v>
      </c>
      <c r="AT50" s="125" t="s">
        <v>62</v>
      </c>
      <c r="AU50" s="125" t="s">
        <v>63</v>
      </c>
      <c r="AV50" s="125" t="s">
        <v>64</v>
      </c>
      <c r="AW50" s="125" t="s">
        <v>59</v>
      </c>
      <c r="AX50" s="125" t="s">
        <v>60</v>
      </c>
      <c r="AY50" s="125" t="s">
        <v>61</v>
      </c>
      <c r="AZ50" s="125" t="s">
        <v>338</v>
      </c>
      <c r="BA50" s="124" t="s">
        <v>72</v>
      </c>
      <c r="BB50" s="73" t="s">
        <v>451</v>
      </c>
      <c r="BG50" t="str">
        <f>BF4</f>
        <v>Duitsland</v>
      </c>
      <c r="BH50" t="str">
        <f>BF4</f>
        <v>Duitsland</v>
      </c>
      <c r="BI50" t="str">
        <f>Groepsloting!B240</f>
        <v>Veerman</v>
      </c>
    </row>
    <row r="51" spans="1:61" ht="14.25" customHeight="1">
      <c r="A51" s="135"/>
      <c r="B51" s="153" t="str">
        <f>Groepsloting!B$68</f>
        <v>Achtste finales</v>
      </c>
      <c r="C51" s="145"/>
      <c r="D51" s="146" t="str">
        <f>Groepsloting!$B$64</f>
        <v>Wedstrijd</v>
      </c>
      <c r="E51" s="147"/>
      <c r="F51" s="146"/>
      <c r="G51" s="146" t="str">
        <f>Groepsloting!$B$65</f>
        <v>Uitslag</v>
      </c>
      <c r="H51" s="146"/>
      <c r="I51" s="146"/>
      <c r="J51" s="170" t="str">
        <f>Groepsloting!$B$66</f>
        <v>Toto</v>
      </c>
      <c r="K51" s="84"/>
      <c r="L51" s="82"/>
      <c r="M51" s="110" t="str">
        <f>Groepsloting!$B$127</f>
        <v>voor strafschoppen. Als je in een 'finale' een gelijkspel voorspelt, vul dan zelf weer de winnaar in voor de volgende 'finale'!</v>
      </c>
      <c r="N51" s="82"/>
      <c r="O51" s="82"/>
      <c r="P51" s="82"/>
      <c r="Q51" s="82"/>
      <c r="R51" s="82"/>
      <c r="S51" s="82"/>
      <c r="T51" s="82"/>
      <c r="U51" s="82"/>
      <c r="V51" s="82"/>
      <c r="W51" s="89"/>
      <c r="X51" s="82"/>
      <c r="Y51" s="82"/>
      <c r="AH51" s="4"/>
      <c r="AI51" s="4"/>
      <c r="AJ51" s="4"/>
      <c r="AK51" s="4"/>
      <c r="AL51" s="4"/>
      <c r="AM51" s="4"/>
      <c r="AN51" s="4"/>
      <c r="AO51" s="178" t="s">
        <v>344</v>
      </c>
      <c r="AP51" s="124">
        <f>RANK(BB51,$BB$51:$BB$56,1)</f>
        <v>2</v>
      </c>
      <c r="AQ51" s="127" t="str">
        <f>VLOOKUP(3,$AP$3:AQ$6,2,0)</f>
        <v>Hongarije</v>
      </c>
      <c r="AR51" s="127">
        <f>VLOOKUP(3,$AP$3:AR$6,3,0)</f>
        <v>0</v>
      </c>
      <c r="AS51" s="127">
        <f>VLOOKUP(3,$AP$3:AS$6,4,0)</f>
        <v>0</v>
      </c>
      <c r="AT51" s="127">
        <f>VLOOKUP(3,$AP$3:AT$6,5,0)</f>
        <v>0</v>
      </c>
      <c r="AU51" s="127">
        <f>VLOOKUP(3,$AP$3:AU$6,6,0)</f>
        <v>0</v>
      </c>
      <c r="AV51" s="127">
        <f>VLOOKUP(3,$AP$3:AV$6,7,0)</f>
        <v>0</v>
      </c>
      <c r="AW51" s="127">
        <f>VLOOKUP(3,$AP$3:AW$6,8,0)</f>
        <v>0</v>
      </c>
      <c r="AX51" s="127">
        <f>VLOOKUP(3,$AP$3:AX$6,9,0)</f>
        <v>0</v>
      </c>
      <c r="AY51" s="127">
        <f>VLOOKUP(3,$AP$3:AY$6,10,0)</f>
        <v>0</v>
      </c>
      <c r="AZ51" s="127">
        <f>VLOOKUP(3,$AP$3:AZ$6,11,0)</f>
        <v>0</v>
      </c>
      <c r="BA51" s="173">
        <f>VLOOKUP(3,$AP$3:BA$6,12,0)</f>
        <v>1.1111800000000001</v>
      </c>
      <c r="BB51" s="174">
        <f>RANK(AS51,$AS$51:$AS$56)+RANK(AV51,$AV$51:$AV$56,0)/10+RANK(AT51,$AT$51:$AT$56,0)/100+RANK(AW51,$AW$51:$AW$56,0)/1000+VLOOKUP(AQ51,$BG$3:$BH$26,2,0)/100000</f>
        <v>1.1111800000000001</v>
      </c>
      <c r="BG51" t="str">
        <f t="shared" ref="BG51:BG53" si="36">BF5</f>
        <v>Schotland</v>
      </c>
      <c r="BH51" t="str">
        <f t="shared" ref="BH51:BH53" si="37">BF5</f>
        <v>Schotland</v>
      </c>
      <c r="BI51" t="str">
        <f>Groepsloting!B241</f>
        <v>Wijnaldum</v>
      </c>
    </row>
    <row r="52" spans="1:61" ht="14.25" customHeight="1">
      <c r="A52" s="135">
        <v>38</v>
      </c>
      <c r="B52" s="154">
        <v>45472</v>
      </c>
      <c r="C52" s="141" t="s">
        <v>337</v>
      </c>
      <c r="D52" s="121" t="str">
        <f>IF(AB4=3,AA4,"2e poule A")</f>
        <v>2e poule A</v>
      </c>
      <c r="E52" s="169" t="s">
        <v>5</v>
      </c>
      <c r="F52" s="121" t="str">
        <f>IF(AB12=3,AA12,"2e poule B")</f>
        <v>2e poule B</v>
      </c>
      <c r="G52" s="22"/>
      <c r="H52" s="150" t="s">
        <v>5</v>
      </c>
      <c r="I52" s="22"/>
      <c r="J52" s="22">
        <f t="shared" ref="J52:J59" si="38">IF(AND(G52="",I52=""),0,IF(G52&gt;I52,1,IF(G52&lt;I52,2,3)))</f>
        <v>0</v>
      </c>
      <c r="K52" s="159" t="s">
        <v>73</v>
      </c>
      <c r="L52" s="82"/>
      <c r="M52" s="110" t="str">
        <f>Groepsloting!$B$128</f>
        <v>• Als je de winkansen wilt spreiden, kan je ook handmatig de finalisten selecteren of een andere toto invullen.</v>
      </c>
      <c r="N52" s="82"/>
      <c r="O52" s="82"/>
      <c r="P52" s="82"/>
      <c r="Q52" s="82"/>
      <c r="R52" s="82"/>
      <c r="S52" s="82"/>
      <c r="T52" s="82"/>
      <c r="U52" s="82"/>
      <c r="V52" s="82"/>
      <c r="W52" s="84"/>
      <c r="X52" s="82"/>
      <c r="Y52" s="82"/>
      <c r="AH52" s="4"/>
      <c r="AI52" s="4"/>
      <c r="AJ52" s="4"/>
      <c r="AK52" s="4"/>
      <c r="AL52" s="4"/>
      <c r="AM52" s="4"/>
      <c r="AN52" s="4"/>
      <c r="AO52" s="178" t="s">
        <v>345</v>
      </c>
      <c r="AP52" s="124">
        <f t="shared" ref="AP52:AP56" si="39">RANK(BB52,$BB$51:$BB$56,1)</f>
        <v>5</v>
      </c>
      <c r="AQ52" s="127" t="str">
        <f>VLOOKUP(3,$AP$11:AQ$14,2,0)</f>
        <v>Albanië</v>
      </c>
      <c r="AR52" s="127">
        <f>VLOOKUP(3,$AP$11:AR$14,3,0)</f>
        <v>0</v>
      </c>
      <c r="AS52" s="127">
        <f>VLOOKUP(3,$AP$11:AS$14,4,0)</f>
        <v>0</v>
      </c>
      <c r="AT52" s="127">
        <f>VLOOKUP(3,$AP$11:AT$14,5,0)</f>
        <v>0</v>
      </c>
      <c r="AU52" s="127">
        <f>VLOOKUP(3,$AP$11:AU$14,6,0)</f>
        <v>0</v>
      </c>
      <c r="AV52" s="127">
        <f>VLOOKUP(3,$AP$11:AV$14,7,0)</f>
        <v>0</v>
      </c>
      <c r="AW52" s="127">
        <f>VLOOKUP(3,$AP$11:AW$14,8,0)</f>
        <v>0</v>
      </c>
      <c r="AX52" s="127">
        <f>VLOOKUP(3,$AP$11:AX$14,9,0)</f>
        <v>0</v>
      </c>
      <c r="AY52" s="127">
        <f>VLOOKUP(3,$AP$11:AY$14,10,0)</f>
        <v>0</v>
      </c>
      <c r="AZ52" s="127">
        <f>VLOOKUP(3,$AP$11:AZ$14,11,0)</f>
        <v>0</v>
      </c>
      <c r="BA52" s="173">
        <f>VLOOKUP(3,$AP$11:BA$14,12,0)</f>
        <v>1.1113899999999999</v>
      </c>
      <c r="BB52" s="174">
        <f t="shared" ref="BB52:BB56" si="40">RANK(AS52,$AS$51:$AS$56)+RANK(AV52,$AV$51:$AV$56,0)/10+RANK(AT52,$AT$51:$AT$56,0)/100+RANK(AW52,$AW$51:$AW$56,0)/1000+VLOOKUP(AQ52,$BG$3:$BH$26,2,0)/100000</f>
        <v>1.1113899999999999</v>
      </c>
      <c r="BG52" t="str">
        <f t="shared" si="36"/>
        <v>Hongarije</v>
      </c>
      <c r="BH52" t="str">
        <f t="shared" si="37"/>
        <v>Hongarije</v>
      </c>
      <c r="BI52" t="str">
        <f>Groepsloting!B242</f>
        <v>Bergwijn</v>
      </c>
    </row>
    <row r="53" spans="1:61" ht="14.25" customHeight="1">
      <c r="A53" s="135">
        <v>37</v>
      </c>
      <c r="B53" s="154">
        <v>45472</v>
      </c>
      <c r="C53" s="141" t="s">
        <v>103</v>
      </c>
      <c r="D53" s="121" t="str">
        <f>IF(AB3=3,AA3,"1e poule A")</f>
        <v>1e poule A</v>
      </c>
      <c r="E53" s="169" t="s">
        <v>5</v>
      </c>
      <c r="F53" s="122" t="str">
        <f>IF(AB20=3,AA20,"2e poule C")</f>
        <v>2e poule C</v>
      </c>
      <c r="G53" s="22"/>
      <c r="H53" s="150" t="s">
        <v>5</v>
      </c>
      <c r="I53" s="22"/>
      <c r="J53" s="118">
        <f t="shared" si="38"/>
        <v>0</v>
      </c>
      <c r="K53" s="159" t="s">
        <v>74</v>
      </c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4"/>
      <c r="X53" s="82"/>
      <c r="Y53" s="82"/>
      <c r="AD53"/>
      <c r="AH53" s="4"/>
      <c r="AI53" s="4"/>
      <c r="AO53" s="178" t="s">
        <v>346</v>
      </c>
      <c r="AP53" s="124">
        <f t="shared" si="39"/>
        <v>4</v>
      </c>
      <c r="AQ53" s="127" t="str">
        <f>VLOOKUP(3,$AP$19:AQ$22,2,0)</f>
        <v>Engeland</v>
      </c>
      <c r="AR53" s="127">
        <f>VLOOKUP(3,$AP$19:AR$22,3,0)</f>
        <v>0</v>
      </c>
      <c r="AS53" s="127">
        <f>VLOOKUP(3,$AP$19:AS$22,4,0)</f>
        <v>0</v>
      </c>
      <c r="AT53" s="127">
        <f>VLOOKUP(3,$AP$19:AT$22,5,0)</f>
        <v>0</v>
      </c>
      <c r="AU53" s="127">
        <f>VLOOKUP(3,$AP$19:AU$22,6,0)</f>
        <v>0</v>
      </c>
      <c r="AV53" s="127">
        <f>VLOOKUP(3,$AP$19:AV$22,7,0)</f>
        <v>0</v>
      </c>
      <c r="AW53" s="127">
        <f>VLOOKUP(3,$AP$19:AW$22,8,0)</f>
        <v>0</v>
      </c>
      <c r="AX53" s="127">
        <f>VLOOKUP(3,$AP$19:AX$22,9,0)</f>
        <v>0</v>
      </c>
      <c r="AY53" s="127">
        <f>VLOOKUP(3,$AP$19:AY$22,10,0)</f>
        <v>0</v>
      </c>
      <c r="AZ53" s="127">
        <f>VLOOKUP(3,$AP$19:AZ$22,11,0)</f>
        <v>0</v>
      </c>
      <c r="BA53" s="173">
        <f>VLOOKUP(3,$AP$19:BA$22,12,0)</f>
        <v>1.11124</v>
      </c>
      <c r="BB53" s="174">
        <f t="shared" si="40"/>
        <v>1.11124</v>
      </c>
      <c r="BG53" t="str">
        <f t="shared" si="36"/>
        <v>Zwitserland</v>
      </c>
      <c r="BH53" t="str">
        <f t="shared" si="37"/>
        <v>Zwitserland</v>
      </c>
      <c r="BI53" t="str">
        <f>Groepsloting!B243</f>
        <v>Brobbey</v>
      </c>
    </row>
    <row r="54" spans="1:61" ht="14.25" customHeight="1">
      <c r="A54" s="135">
        <v>40</v>
      </c>
      <c r="B54" s="154">
        <v>45473</v>
      </c>
      <c r="C54" s="141" t="s">
        <v>337</v>
      </c>
      <c r="D54" s="121" t="str">
        <f>IF(AB19=3,AA19,"1e poule C")</f>
        <v>1e poule C</v>
      </c>
      <c r="E54" s="169" t="s">
        <v>5</v>
      </c>
      <c r="F54" s="122" t="str">
        <f>IF(MIN($AR$51:$AR$56)=3,$BD$65,"3e poule D/E/F")</f>
        <v>3e poule D/E/F</v>
      </c>
      <c r="G54" s="22"/>
      <c r="H54" s="150" t="s">
        <v>5</v>
      </c>
      <c r="I54" s="22"/>
      <c r="J54" s="118">
        <f>IF(AND(G54="",I54=""),0,IF(G54&gt;I54,1,IF(G54&lt;I54,2,3)))</f>
        <v>0</v>
      </c>
      <c r="K54" s="159" t="s">
        <v>75</v>
      </c>
      <c r="L54" s="82"/>
      <c r="M54" s="93" t="str">
        <f>Groepsloting!$B$129</f>
        <v>Juiste aantal doelpunten thuis spelend team (juiste toto)</v>
      </c>
      <c r="N54" s="93"/>
      <c r="O54" s="93">
        <v>2</v>
      </c>
      <c r="P54" s="93"/>
      <c r="Q54" s="93"/>
      <c r="R54" s="93"/>
      <c r="S54" s="93"/>
      <c r="T54" s="82"/>
      <c r="U54" s="82"/>
      <c r="V54" s="82"/>
      <c r="W54" s="84"/>
      <c r="X54" s="82"/>
      <c r="Y54" s="82"/>
      <c r="AD54"/>
      <c r="AH54" s="4"/>
      <c r="AI54" s="4"/>
      <c r="AO54" s="178" t="s">
        <v>347</v>
      </c>
      <c r="AP54" s="124">
        <f t="shared" si="39"/>
        <v>6</v>
      </c>
      <c r="AQ54" s="127" t="str">
        <f>VLOOKUP(3,$AP$27:AQ$30,2,0)</f>
        <v>Frankrijk</v>
      </c>
      <c r="AR54" s="127">
        <f>VLOOKUP(3,$AP$27:AR$30,3,0)</f>
        <v>0</v>
      </c>
      <c r="AS54" s="127">
        <f>VLOOKUP(3,$AP$27:AS$30,4,0)</f>
        <v>0</v>
      </c>
      <c r="AT54" s="127">
        <f>VLOOKUP(3,$AP$27:AT$30,5,0)</f>
        <v>0</v>
      </c>
      <c r="AU54" s="127">
        <f>VLOOKUP(3,$AP$27:AU$30,6,0)</f>
        <v>0</v>
      </c>
      <c r="AV54" s="127">
        <f>VLOOKUP(3,$AP$27:AV$30,7,0)</f>
        <v>0</v>
      </c>
      <c r="AW54" s="127">
        <f>VLOOKUP(3,$AP$27:AW$30,8,0)</f>
        <v>0</v>
      </c>
      <c r="AX54" s="127">
        <f>VLOOKUP(3,$AP$27:AX$30,9,0)</f>
        <v>0</v>
      </c>
      <c r="AY54" s="127">
        <f>VLOOKUP(3,$AP$27:AY$30,10,0)</f>
        <v>0</v>
      </c>
      <c r="AZ54" s="127">
        <f>VLOOKUP(3,$AP$27:AZ$30,11,0)</f>
        <v>0</v>
      </c>
      <c r="BA54" s="173">
        <f>VLOOKUP(3,$AP$27:BA$30,12,0)</f>
        <v>1.1114200000000001</v>
      </c>
      <c r="BB54" s="174">
        <f t="shared" si="40"/>
        <v>1.1114200000000001</v>
      </c>
      <c r="BG54" t="str">
        <f>BF10</f>
        <v>Spanje</v>
      </c>
      <c r="BH54" t="str">
        <f>BF10</f>
        <v>Spanje</v>
      </c>
      <c r="BI54" t="str">
        <f>Groepsloting!B244</f>
        <v>Depay</v>
      </c>
    </row>
    <row r="55" spans="1:61" ht="14.25" customHeight="1">
      <c r="A55" s="135">
        <v>39</v>
      </c>
      <c r="B55" s="154">
        <v>45473</v>
      </c>
      <c r="C55" s="141" t="s">
        <v>103</v>
      </c>
      <c r="D55" s="121" t="str">
        <f>IF(AB11=3,AA11,"1e poule B")</f>
        <v>1e poule B</v>
      </c>
      <c r="E55" s="169" t="s">
        <v>5</v>
      </c>
      <c r="F55" s="122" t="str">
        <f>IF(MIN($AR$51:$AR$56)=3,$BD$64,"3e poule A/D/E/F")</f>
        <v>3e poule A/D/E/F</v>
      </c>
      <c r="G55" s="22"/>
      <c r="H55" s="150" t="s">
        <v>5</v>
      </c>
      <c r="I55" s="22"/>
      <c r="J55" s="118">
        <f t="shared" si="38"/>
        <v>0</v>
      </c>
      <c r="K55" s="159" t="s">
        <v>76</v>
      </c>
      <c r="L55" s="82"/>
      <c r="M55" s="93"/>
      <c r="N55" s="93"/>
      <c r="O55" s="93"/>
      <c r="P55" s="93"/>
      <c r="Q55" s="93"/>
      <c r="R55" s="93"/>
      <c r="S55" s="93"/>
      <c r="T55" s="82"/>
      <c r="U55" s="82"/>
      <c r="V55" s="82"/>
      <c r="W55" s="84"/>
      <c r="X55" s="82"/>
      <c r="Y55" s="82"/>
      <c r="AD55"/>
      <c r="AH55" s="4"/>
      <c r="AI55" s="4"/>
      <c r="AO55" s="178" t="s">
        <v>348</v>
      </c>
      <c r="AP55" s="124">
        <f t="shared" si="39"/>
        <v>3</v>
      </c>
      <c r="AQ55" s="127" t="str">
        <f>VLOOKUP(3,$AP$35:AQ$38,2,0)</f>
        <v>Oekraïne</v>
      </c>
      <c r="AR55" s="127">
        <f>VLOOKUP(3,$AP$35:AR$38,3,0)</f>
        <v>0</v>
      </c>
      <c r="AS55" s="127">
        <f>VLOOKUP(3,$AP$35:AS$38,4,0)</f>
        <v>0</v>
      </c>
      <c r="AT55" s="127">
        <f>VLOOKUP(3,$AP$35:AT$38,5,0)</f>
        <v>0</v>
      </c>
      <c r="AU55" s="127">
        <f>VLOOKUP(3,$AP$35:AU$38,6,0)</f>
        <v>0</v>
      </c>
      <c r="AV55" s="127">
        <f>VLOOKUP(3,$AP$35:AV$38,7,0)</f>
        <v>0</v>
      </c>
      <c r="AW55" s="127">
        <f>VLOOKUP(3,$AP$35:AW$38,8,0)</f>
        <v>0</v>
      </c>
      <c r="AX55" s="127">
        <f>VLOOKUP(3,$AP$35:AX$38,9,0)</f>
        <v>0</v>
      </c>
      <c r="AY55" s="127">
        <f>VLOOKUP(3,$AP$35:AY$38,10,0)</f>
        <v>0</v>
      </c>
      <c r="AZ55" s="127">
        <f>VLOOKUP(3,$AP$35:AZ$38,11,0)</f>
        <v>0</v>
      </c>
      <c r="BA55" s="173">
        <f>VLOOKUP(3,$AP$35:BA$38,12,0)</f>
        <v>1.1112</v>
      </c>
      <c r="BB55" s="174">
        <f t="shared" si="40"/>
        <v>1.1112</v>
      </c>
      <c r="BG55" t="str">
        <f t="shared" ref="BG55:BG57" si="41">BF11</f>
        <v>Kroatië</v>
      </c>
      <c r="BH55" t="str">
        <f t="shared" ref="BH55:BH57" si="42">BF11</f>
        <v>Kroatië</v>
      </c>
      <c r="BI55" t="str">
        <f>Groepsloting!B245</f>
        <v>Gakpo</v>
      </c>
    </row>
    <row r="56" spans="1:61" ht="14.25" customHeight="1">
      <c r="A56" s="135">
        <v>42</v>
      </c>
      <c r="B56" s="154">
        <v>45474</v>
      </c>
      <c r="C56" s="141" t="s">
        <v>337</v>
      </c>
      <c r="D56" s="121" t="str">
        <f>IF(AB28=3,AA28,"2e poule D")</f>
        <v>2e poule D</v>
      </c>
      <c r="E56" s="169" t="s">
        <v>5</v>
      </c>
      <c r="F56" s="122" t="str">
        <f>IF(AB36=3,AA36,"2e poule E")</f>
        <v>2e poule E</v>
      </c>
      <c r="G56" s="22"/>
      <c r="H56" s="150" t="s">
        <v>5</v>
      </c>
      <c r="I56" s="22"/>
      <c r="J56" s="118">
        <f t="shared" si="38"/>
        <v>0</v>
      </c>
      <c r="K56" s="159" t="s">
        <v>77</v>
      </c>
      <c r="L56" s="82"/>
      <c r="M56" s="93" t="str">
        <f>Groepsloting!$B$130</f>
        <v>Juiste aantal doelpunten thuis spelend team (onjuiste toto)</v>
      </c>
      <c r="N56" s="93"/>
      <c r="O56" s="93">
        <v>1</v>
      </c>
      <c r="P56" s="93"/>
      <c r="Q56" s="93"/>
      <c r="R56" s="93"/>
      <c r="S56" s="93"/>
      <c r="T56" s="82"/>
      <c r="U56" s="82"/>
      <c r="V56" s="82"/>
      <c r="W56" s="89"/>
      <c r="X56" s="82"/>
      <c r="Y56" s="82"/>
      <c r="AD56"/>
      <c r="AH56" s="4"/>
      <c r="AI56" s="4"/>
      <c r="AO56" s="178" t="s">
        <v>349</v>
      </c>
      <c r="AP56" s="124">
        <f t="shared" si="39"/>
        <v>1</v>
      </c>
      <c r="AQ56" s="127" t="str">
        <f>VLOOKUP(3,$AP$43:AQ$46,2,0)</f>
        <v>Tsjechië</v>
      </c>
      <c r="AR56" s="127">
        <f>VLOOKUP(3,$AP$43:AR$46,3,0)</f>
        <v>0</v>
      </c>
      <c r="AS56" s="127">
        <f>VLOOKUP(3,$AP$43:AS$46,4,0)</f>
        <v>0</v>
      </c>
      <c r="AT56" s="127">
        <f>VLOOKUP(3,$AP$43:AT$46,5,0)</f>
        <v>0</v>
      </c>
      <c r="AU56" s="127">
        <f>VLOOKUP(3,$AP$43:AU$46,6,0)</f>
        <v>0</v>
      </c>
      <c r="AV56" s="127">
        <f>VLOOKUP(3,$AP$43:AV$46,7,0)</f>
        <v>0</v>
      </c>
      <c r="AW56" s="127">
        <f>VLOOKUP(3,$AP$43:AW$46,8,0)</f>
        <v>0</v>
      </c>
      <c r="AX56" s="127">
        <f>VLOOKUP(3,$AP$43:AX$46,9,0)</f>
        <v>0</v>
      </c>
      <c r="AY56" s="127">
        <f>VLOOKUP(3,$AP$43:AY$46,10,0)</f>
        <v>0</v>
      </c>
      <c r="AZ56" s="127">
        <f>VLOOKUP(3,$AP$43:AZ$46,11,0)</f>
        <v>0</v>
      </c>
      <c r="BA56" s="173">
        <f>VLOOKUP(3,$AP$43:BA$46,12,0)</f>
        <v>1.11113</v>
      </c>
      <c r="BB56" s="174">
        <f t="shared" si="40"/>
        <v>1.11113</v>
      </c>
      <c r="BG56" t="str">
        <f t="shared" si="41"/>
        <v>Italië</v>
      </c>
      <c r="BH56" t="str">
        <f t="shared" si="42"/>
        <v>Italië</v>
      </c>
      <c r="BI56" t="str">
        <f>Groepsloting!B246</f>
        <v>Malen</v>
      </c>
    </row>
    <row r="57" spans="1:61" ht="14.25" customHeight="1">
      <c r="A57" s="135">
        <v>41</v>
      </c>
      <c r="B57" s="154">
        <v>45474</v>
      </c>
      <c r="C57" s="141" t="s">
        <v>103</v>
      </c>
      <c r="D57" s="121" t="str">
        <f>IF(AB43=3,AA43,"1e poule F")</f>
        <v>1e poule F</v>
      </c>
      <c r="E57" s="169" t="s">
        <v>5</v>
      </c>
      <c r="F57" s="122" t="str">
        <f>IF(MIN($AR$51:$AR$56)=3,$BD$67,"3e poule A/B/C")</f>
        <v>3e poule A/B/C</v>
      </c>
      <c r="G57" s="22"/>
      <c r="H57" s="150" t="s">
        <v>5</v>
      </c>
      <c r="I57" s="22"/>
      <c r="J57" s="118">
        <f t="shared" si="38"/>
        <v>0</v>
      </c>
      <c r="K57" s="159" t="s">
        <v>78</v>
      </c>
      <c r="L57" s="82"/>
      <c r="M57" s="93"/>
      <c r="N57" s="93"/>
      <c r="O57" s="93"/>
      <c r="P57" s="93"/>
      <c r="Q57" s="93"/>
      <c r="R57" s="93"/>
      <c r="S57" s="93"/>
      <c r="T57" s="82"/>
      <c r="U57" s="82"/>
      <c r="V57" s="82"/>
      <c r="W57" s="89"/>
      <c r="X57" s="82"/>
      <c r="Y57" s="82"/>
      <c r="AD57"/>
      <c r="AH57" s="4"/>
      <c r="AI57" s="4"/>
      <c r="AO57" s="4"/>
      <c r="BG57" t="str">
        <f t="shared" si="41"/>
        <v>Albanië</v>
      </c>
      <c r="BH57" t="str">
        <f t="shared" si="42"/>
        <v>Albanië</v>
      </c>
      <c r="BI57" t="str">
        <f>Groepsloting!B247</f>
        <v>Weghorst</v>
      </c>
    </row>
    <row r="58" spans="1:61" ht="14.25" customHeight="1">
      <c r="A58" s="135">
        <v>44</v>
      </c>
      <c r="B58" s="154">
        <v>45475</v>
      </c>
      <c r="C58" s="141" t="s">
        <v>103</v>
      </c>
      <c r="D58" s="121" t="str">
        <f>IF(AB27=3,AA27,"1e poule D")</f>
        <v>1e poule D</v>
      </c>
      <c r="E58" s="169" t="s">
        <v>5</v>
      </c>
      <c r="F58" s="122" t="str">
        <f>IF(AB44=3,AA44,"2e poule F")</f>
        <v>2e poule F</v>
      </c>
      <c r="G58" s="22"/>
      <c r="H58" s="150" t="s">
        <v>5</v>
      </c>
      <c r="I58" s="22"/>
      <c r="J58" s="118">
        <f t="shared" si="38"/>
        <v>0</v>
      </c>
      <c r="K58" s="159" t="s">
        <v>79</v>
      </c>
      <c r="L58" s="82"/>
      <c r="M58" s="93" t="str">
        <f>Groepsloting!$B$131</f>
        <v>Juiste aantal doelpunten uit spelend team (juiste toto)</v>
      </c>
      <c r="N58" s="93"/>
      <c r="O58" s="93">
        <v>2</v>
      </c>
      <c r="P58" s="93"/>
      <c r="Q58" s="93"/>
      <c r="R58" s="93"/>
      <c r="S58" s="93"/>
      <c r="T58" s="82"/>
      <c r="U58" s="82"/>
      <c r="V58" s="82"/>
      <c r="W58" s="89"/>
      <c r="X58" s="82"/>
      <c r="Y58" s="82"/>
      <c r="AD58"/>
      <c r="AH58" s="4"/>
      <c r="AI58" s="4"/>
      <c r="AO58" s="4"/>
      <c r="BG58" t="str">
        <f>BF16</f>
        <v>Slovenië</v>
      </c>
      <c r="BH58" t="str">
        <f>BF16</f>
        <v>Slovenië</v>
      </c>
      <c r="BI58">
        <f>Groepsloting!B248</f>
        <v>0</v>
      </c>
    </row>
    <row r="59" spans="1:61" ht="14.25" customHeight="1">
      <c r="A59" s="135">
        <v>43</v>
      </c>
      <c r="B59" s="154">
        <v>45475</v>
      </c>
      <c r="C59" s="141" t="s">
        <v>337</v>
      </c>
      <c r="D59" s="121" t="str">
        <f>IF(AB35=3,AA35,"1e poule E")</f>
        <v>1e poule E</v>
      </c>
      <c r="E59" s="169" t="s">
        <v>5</v>
      </c>
      <c r="F59" s="122" t="str">
        <f>IF(MIN($AR$51:$AR$56)=3,$BD$66,"3e poule A/B/C/D")</f>
        <v>3e poule A/B/C/D</v>
      </c>
      <c r="G59" s="22"/>
      <c r="H59" s="150" t="s">
        <v>5</v>
      </c>
      <c r="I59" s="22"/>
      <c r="J59" s="118">
        <f t="shared" si="38"/>
        <v>0</v>
      </c>
      <c r="K59" s="159" t="s">
        <v>80</v>
      </c>
      <c r="L59" s="82"/>
      <c r="M59" s="93"/>
      <c r="N59" s="93"/>
      <c r="O59" s="93"/>
      <c r="P59" s="93"/>
      <c r="Q59" s="93"/>
      <c r="R59" s="93"/>
      <c r="S59" s="93"/>
      <c r="T59" s="82"/>
      <c r="U59" s="82"/>
      <c r="V59" s="82"/>
      <c r="W59" s="89"/>
      <c r="X59" s="82"/>
      <c r="Y59" s="82"/>
      <c r="AD59"/>
      <c r="AH59" s="4"/>
      <c r="AI59" s="4"/>
      <c r="AO59" s="4"/>
      <c r="BG59" t="str">
        <f t="shared" ref="BG59:BG61" si="43">BF17</f>
        <v>Denemarken</v>
      </c>
      <c r="BH59" t="str">
        <f t="shared" ref="BH59:BH61" si="44">BF17</f>
        <v>Denemarken</v>
      </c>
      <c r="BI59">
        <f>Groepsloting!B249</f>
        <v>0</v>
      </c>
    </row>
    <row r="60" spans="1:61" ht="14.25" customHeight="1">
      <c r="A60" s="116"/>
      <c r="B60" s="136"/>
      <c r="C60" s="76"/>
      <c r="E60" s="26"/>
      <c r="G60" s="79"/>
      <c r="H60" s="78"/>
      <c r="I60" s="79"/>
      <c r="J60" s="79"/>
      <c r="K60" s="84"/>
      <c r="L60" s="82"/>
      <c r="M60" s="93" t="str">
        <f>Groepsloting!$B$132</f>
        <v>Juiste aantal doelpunten uit spelend team (onjuiste toto)</v>
      </c>
      <c r="N60" s="93"/>
      <c r="O60" s="93">
        <v>1</v>
      </c>
      <c r="P60" s="93"/>
      <c r="Q60" s="93"/>
      <c r="R60" s="93"/>
      <c r="S60" s="93"/>
      <c r="T60" s="82"/>
      <c r="U60" s="82"/>
      <c r="V60" s="82"/>
      <c r="W60" s="89"/>
      <c r="X60" s="82"/>
      <c r="Y60" s="82"/>
      <c r="AD60"/>
      <c r="AH60" s="4"/>
      <c r="AI60" s="4"/>
      <c r="AO60" s="4"/>
      <c r="AP60" s="12" t="s">
        <v>452</v>
      </c>
      <c r="AQ60" s="13"/>
      <c r="AR60" s="13"/>
      <c r="AS60" s="13"/>
      <c r="AT60" s="13"/>
      <c r="AU60" s="13"/>
      <c r="AV60" s="14" t="s">
        <v>339</v>
      </c>
      <c r="AW60" s="13"/>
      <c r="AX60" s="13" t="s">
        <v>340</v>
      </c>
      <c r="AY60" s="14"/>
      <c r="BG60" t="str">
        <f t="shared" si="43"/>
        <v>Servië</v>
      </c>
      <c r="BH60" t="str">
        <f t="shared" si="44"/>
        <v>Servië</v>
      </c>
      <c r="BI60">
        <f>Groepsloting!B250</f>
        <v>0</v>
      </c>
    </row>
    <row r="61" spans="1:61" ht="14.25" customHeight="1">
      <c r="A61" s="116"/>
      <c r="B61" s="151"/>
      <c r="C61" s="152"/>
      <c r="E61" s="78"/>
      <c r="G61" s="79"/>
      <c r="H61" s="78"/>
      <c r="I61" s="79"/>
      <c r="J61" s="79"/>
      <c r="K61" s="84"/>
      <c r="L61" s="82"/>
      <c r="M61" s="93"/>
      <c r="N61" s="93"/>
      <c r="O61" s="93"/>
      <c r="P61" s="93"/>
      <c r="Q61" s="93"/>
      <c r="R61" s="93"/>
      <c r="S61" s="93"/>
      <c r="T61" s="82"/>
      <c r="U61" s="82"/>
      <c r="V61" s="82"/>
      <c r="W61" s="84"/>
      <c r="X61" s="82"/>
      <c r="Y61" s="82"/>
      <c r="AD61"/>
      <c r="AH61" s="4"/>
      <c r="AI61" s="4"/>
      <c r="AO61" s="4"/>
      <c r="AP61" s="73" t="s">
        <v>341</v>
      </c>
      <c r="AQ61" s="73" t="s">
        <v>342</v>
      </c>
      <c r="AR61" s="73" t="s">
        <v>343</v>
      </c>
      <c r="AS61" s="73" t="s">
        <v>458</v>
      </c>
      <c r="AT61" s="73" t="s">
        <v>459</v>
      </c>
      <c r="AU61" s="13"/>
      <c r="AV61" s="125" t="s">
        <v>344</v>
      </c>
      <c r="AW61" s="125" t="s">
        <v>345</v>
      </c>
      <c r="AX61" s="125" t="s">
        <v>346</v>
      </c>
      <c r="AY61" s="125" t="s">
        <v>347</v>
      </c>
      <c r="AZ61" s="124" t="s">
        <v>348</v>
      </c>
      <c r="BA61" s="125" t="s">
        <v>349</v>
      </c>
      <c r="BG61" t="str">
        <f t="shared" si="43"/>
        <v>Engeland</v>
      </c>
      <c r="BH61" t="str">
        <f t="shared" si="44"/>
        <v>Engeland</v>
      </c>
      <c r="BI61">
        <f>Groepsloting!B251</f>
        <v>0</v>
      </c>
    </row>
    <row r="62" spans="1:61" ht="14.25" customHeight="1">
      <c r="A62" s="135"/>
      <c r="B62" s="153" t="str">
        <f>Groepsloting!$B$77</f>
        <v>Kwartfinales</v>
      </c>
      <c r="C62" s="145"/>
      <c r="D62" s="146" t="str">
        <f>Groepsloting!$B$64</f>
        <v>Wedstrijd</v>
      </c>
      <c r="E62" s="147"/>
      <c r="F62" s="146"/>
      <c r="G62" s="146" t="str">
        <f>Groepsloting!$B$65</f>
        <v>Uitslag</v>
      </c>
      <c r="H62" s="146"/>
      <c r="I62" s="146"/>
      <c r="J62" s="170" t="str">
        <f>Groepsloting!$B$66</f>
        <v>Toto</v>
      </c>
      <c r="K62" s="84"/>
      <c r="L62" s="82"/>
      <c r="M62" s="93" t="str">
        <f>Groepsloting!$B$133</f>
        <v>Juiste "toto"-uitslag</v>
      </c>
      <c r="N62" s="93"/>
      <c r="O62" s="93">
        <v>3</v>
      </c>
      <c r="P62" s="93"/>
      <c r="Q62" s="93"/>
      <c r="R62" s="93"/>
      <c r="S62" s="93"/>
      <c r="T62" s="82"/>
      <c r="U62" s="82"/>
      <c r="V62" s="82"/>
      <c r="W62" s="84"/>
      <c r="X62" s="82"/>
      <c r="Y62" s="82"/>
      <c r="AD62"/>
      <c r="AH62" s="4"/>
      <c r="AI62" s="4"/>
      <c r="AO62" s="4"/>
      <c r="AP62" s="73"/>
      <c r="AQ62" s="73" t="s">
        <v>350</v>
      </c>
      <c r="AR62" s="73" t="s">
        <v>351</v>
      </c>
      <c r="AS62" s="73" t="s">
        <v>423</v>
      </c>
      <c r="AT62" s="73" t="s">
        <v>424</v>
      </c>
      <c r="AU62" s="13"/>
      <c r="AV62" s="175" t="str">
        <f>IF(MIN($AR$51:$AR$56)=3,$BB51,"3e A")</f>
        <v>3e A</v>
      </c>
      <c r="AW62" s="175" t="str">
        <f>IF(MIN($AR$51:$AR$56)=3,$BB52,"3e B")</f>
        <v>3e B</v>
      </c>
      <c r="AX62" s="175" t="str">
        <f>IF(MIN($AR$51:$AR$56)=3,$BB53,"3e C")</f>
        <v>3e C</v>
      </c>
      <c r="AY62" s="175" t="str">
        <f>IF(MIN($AR$51:$AR$56)=3,$BB54,"3e D")</f>
        <v>3e D</v>
      </c>
      <c r="AZ62" s="175" t="str">
        <f>IF(MIN($AR$51:$AR$56)=3,$BB55,"3e E")</f>
        <v>3e E</v>
      </c>
      <c r="BA62" s="175" t="str">
        <f>IF(MIN($AR$51:$AR$56)=3,$BB56,"3e F")</f>
        <v>3e F</v>
      </c>
      <c r="BC62" s="12" t="s">
        <v>352</v>
      </c>
      <c r="BG62" t="str">
        <f>BF22</f>
        <v>Polen</v>
      </c>
    </row>
    <row r="63" spans="1:61" ht="14.25" customHeight="1">
      <c r="A63" s="135">
        <v>46</v>
      </c>
      <c r="B63" s="154">
        <v>45478</v>
      </c>
      <c r="C63" s="141" t="s">
        <v>103</v>
      </c>
      <c r="D63" s="121" t="str">
        <f>IF(J57=1,D57,IF(J57=2,F57,"vul winnaar in AF6"))</f>
        <v>vul winnaar in AF6</v>
      </c>
      <c r="E63" s="169" t="s">
        <v>5</v>
      </c>
      <c r="F63" s="122" t="str">
        <f>IF(J56=1,D56,IF(J56=2,F56,"vul winnaar in AF5"))</f>
        <v>vul winnaar in AF5</v>
      </c>
      <c r="G63" s="22"/>
      <c r="H63" s="150" t="s">
        <v>5</v>
      </c>
      <c r="I63" s="22"/>
      <c r="J63" s="22">
        <f>IF(AND(G63="",I63=""),0,IF(G63&gt;I63,1,IF(G63&lt;I63,2,3)))</f>
        <v>0</v>
      </c>
      <c r="K63" s="159" t="s">
        <v>81</v>
      </c>
      <c r="L63" s="82"/>
      <c r="M63" s="93"/>
      <c r="N63" s="93"/>
      <c r="O63" s="93"/>
      <c r="P63" s="93"/>
      <c r="Q63" s="93"/>
      <c r="R63" s="93"/>
      <c r="S63" s="93"/>
      <c r="T63" s="82"/>
      <c r="U63" s="82"/>
      <c r="V63" s="82"/>
      <c r="W63" s="84"/>
      <c r="X63" s="82"/>
      <c r="Y63" s="82"/>
      <c r="AD63"/>
      <c r="AH63" s="4"/>
      <c r="AI63" s="4"/>
      <c r="AO63" s="4"/>
      <c r="AP63" s="73"/>
      <c r="AQ63" s="73" t="s">
        <v>454</v>
      </c>
      <c r="AR63" s="73" t="s">
        <v>455</v>
      </c>
      <c r="AS63" s="73" t="s">
        <v>456</v>
      </c>
      <c r="AT63" s="73" t="s">
        <v>457</v>
      </c>
      <c r="AV63" s="125" t="str">
        <f>VLOOKUP(3,AP3:BA6,2,FALSE)</f>
        <v>Hongarije</v>
      </c>
      <c r="AW63" s="125" t="str">
        <f>VLOOKUP(3,AP11:BA14,2,FALSE)</f>
        <v>Albanië</v>
      </c>
      <c r="AX63" s="125" t="str">
        <f>VLOOKUP(3,AP19:BA22,2,FALSE)</f>
        <v>Engeland</v>
      </c>
      <c r="AY63" s="125" t="str">
        <f>VLOOKUP(3,AP27:BA30,2,FALSE)</f>
        <v>Frankrijk</v>
      </c>
      <c r="AZ63" s="125" t="str">
        <f>VLOOKUP(3,AP35:BA38,2,FALSE)</f>
        <v>Oekraïne</v>
      </c>
      <c r="BA63" s="125" t="str">
        <f>VLOOKUP(3,AP43:BA46,2,FALSE)</f>
        <v>Tsjechië</v>
      </c>
      <c r="BC63" s="73" t="s">
        <v>354</v>
      </c>
      <c r="BD63" s="73" t="s">
        <v>355</v>
      </c>
      <c r="BG63" t="str">
        <f t="shared" ref="BG63:BG65" si="45">BF23</f>
        <v>Nederland</v>
      </c>
    </row>
    <row r="64" spans="1:61" ht="14.25" customHeight="1">
      <c r="A64" s="135">
        <v>45</v>
      </c>
      <c r="B64" s="154">
        <v>45478</v>
      </c>
      <c r="C64" s="141" t="s">
        <v>337</v>
      </c>
      <c r="D64" s="121" t="str">
        <f>IF(J55=1,D55,IF(J55=2,F55,"vul winnaar in AF4"))</f>
        <v>vul winnaar in AF4</v>
      </c>
      <c r="E64" s="169" t="s">
        <v>5</v>
      </c>
      <c r="F64" s="122" t="str">
        <f>IF(J53=1,D53,IF(J53=2,F53,"vul winnaar in AF2"))</f>
        <v>vul winnaar in AF2</v>
      </c>
      <c r="G64" s="22"/>
      <c r="H64" s="150" t="s">
        <v>5</v>
      </c>
      <c r="I64" s="22"/>
      <c r="J64" s="118">
        <f>IF(AND(G64="",I64=""),0,IF(G64&gt;I64,1,IF(G64&lt;I64,2,3)))</f>
        <v>0</v>
      </c>
      <c r="K64" s="159" t="s">
        <v>82</v>
      </c>
      <c r="L64" s="82"/>
      <c r="M64" s="93" t="str">
        <f>Groepsloting!$B$134</f>
        <v>Team op juiste plaats in achtste finale</v>
      </c>
      <c r="N64" s="93"/>
      <c r="O64" s="93">
        <v>6</v>
      </c>
      <c r="P64" s="93"/>
      <c r="Q64" s="93"/>
      <c r="R64" s="93"/>
      <c r="S64" s="93"/>
      <c r="T64" s="82"/>
      <c r="U64" s="82"/>
      <c r="V64" s="82"/>
      <c r="W64" s="84"/>
      <c r="X64" s="82"/>
      <c r="Y64" s="82"/>
      <c r="AD64"/>
      <c r="AH64" s="4"/>
      <c r="AI64" s="4"/>
      <c r="AO64" s="4"/>
      <c r="AV64" s="128" t="s">
        <v>353</v>
      </c>
      <c r="BC64" s="127">
        <v>39</v>
      </c>
      <c r="BD64" s="73" t="e">
        <f>VLOOKUP(MIN($AV$65:$AV$79),$AV$65:$BA$79,3,FALSE)</f>
        <v>#VALUE!</v>
      </c>
      <c r="BG64" t="str">
        <f t="shared" si="45"/>
        <v>Oostenrijk</v>
      </c>
    </row>
    <row r="65" spans="1:59" ht="14.25" customHeight="1">
      <c r="A65" s="135">
        <v>48</v>
      </c>
      <c r="B65" s="154">
        <v>45479</v>
      </c>
      <c r="C65" s="141" t="s">
        <v>337</v>
      </c>
      <c r="D65" s="121" t="str">
        <f>IF(J54=1,D54,IF(J54=2,F54,"vul winnaar in AF3"))</f>
        <v>vul winnaar in AF3</v>
      </c>
      <c r="E65" s="169" t="s">
        <v>5</v>
      </c>
      <c r="F65" s="122" t="str">
        <f>IF(J52=1,D52,IF(J52=2,F52,"vul winnaar in AF1"))</f>
        <v>vul winnaar in AF1</v>
      </c>
      <c r="G65" s="22"/>
      <c r="H65" s="150" t="s">
        <v>5</v>
      </c>
      <c r="I65" s="22"/>
      <c r="J65" s="118">
        <f>IF(AND(G65="",I65=""),0,IF(G65&gt;I65,1,IF(G65&lt;I65,2,3)))</f>
        <v>0</v>
      </c>
      <c r="K65" s="159" t="s">
        <v>83</v>
      </c>
      <c r="L65" s="82"/>
      <c r="M65" s="93"/>
      <c r="N65" s="93"/>
      <c r="O65" s="93"/>
      <c r="P65" s="93"/>
      <c r="Q65" s="93"/>
      <c r="R65" s="93"/>
      <c r="S65" s="93"/>
      <c r="T65" s="82"/>
      <c r="U65" s="82"/>
      <c r="V65" s="82"/>
      <c r="W65" s="84"/>
      <c r="X65" s="82"/>
      <c r="Y65" s="82"/>
      <c r="AD65"/>
      <c r="AH65" s="4"/>
      <c r="AP65" s="73" t="s">
        <v>356</v>
      </c>
      <c r="AQ65" s="73" t="s">
        <v>360</v>
      </c>
      <c r="AR65" s="73" t="s">
        <v>357</v>
      </c>
      <c r="AS65" s="73" t="s">
        <v>358</v>
      </c>
      <c r="AT65" s="73" t="s">
        <v>359</v>
      </c>
      <c r="AU65" s="177" t="e">
        <f>IF(AV65=MIN($AV$65:$AV$79),"x","")</f>
        <v>#VALUE!</v>
      </c>
      <c r="AV65" s="176" t="e">
        <f>$AV$62+$AW$62+$AX$62+$AY$62</f>
        <v>#VALUE!</v>
      </c>
      <c r="AW65" s="73" t="s">
        <v>356</v>
      </c>
      <c r="AX65" s="73" t="str">
        <f>$AV$63</f>
        <v>Hongarije</v>
      </c>
      <c r="AY65" s="73" t="str">
        <f>$AY$63</f>
        <v>Frankrijk</v>
      </c>
      <c r="AZ65" s="73" t="str">
        <f>$AW$63</f>
        <v>Albanië</v>
      </c>
      <c r="BA65" s="73" t="str">
        <f>$AX$63</f>
        <v>Engeland</v>
      </c>
      <c r="BC65" s="127">
        <v>40</v>
      </c>
      <c r="BD65" s="73" t="e">
        <f>VLOOKUP(MIN($AV$65:$AV$79),$AV$65:$BA$79,4,FALSE)</f>
        <v>#VALUE!</v>
      </c>
      <c r="BG65" t="str">
        <f t="shared" si="45"/>
        <v>Frankrijk</v>
      </c>
    </row>
    <row r="66" spans="1:59" ht="14.25" customHeight="1">
      <c r="A66" s="135">
        <v>47</v>
      </c>
      <c r="B66" s="154">
        <v>45479</v>
      </c>
      <c r="C66" s="141" t="s">
        <v>103</v>
      </c>
      <c r="D66" s="121" t="str">
        <f>IF(J59=1,D59,IF(J59=2,F59,"vul winnaar in AF8"))</f>
        <v>vul winnaar in AF8</v>
      </c>
      <c r="E66" s="169" t="s">
        <v>5</v>
      </c>
      <c r="F66" s="122" t="str">
        <f>IF(J58=1,D58,IF(J58=2,F58,"vul winnaar in AF7"))</f>
        <v>vul winnaar in AF7</v>
      </c>
      <c r="G66" s="22"/>
      <c r="H66" s="150" t="s">
        <v>5</v>
      </c>
      <c r="I66" s="22"/>
      <c r="J66" s="118">
        <f>IF(AND(G66="",I66=""),0,IF(G66&gt;I66,1,IF(G66&lt;I66,2,3)))</f>
        <v>0</v>
      </c>
      <c r="K66" s="159" t="s">
        <v>84</v>
      </c>
      <c r="L66" s="82"/>
      <c r="M66" s="93" t="str">
        <f>Groepsloting!$B$135</f>
        <v>Team op onjuiste plaats in achtste finale</v>
      </c>
      <c r="N66" s="93"/>
      <c r="O66" s="93">
        <v>3</v>
      </c>
      <c r="P66" s="93"/>
      <c r="Q66" s="93"/>
      <c r="R66" s="93"/>
      <c r="S66" s="93"/>
      <c r="T66" s="82"/>
      <c r="U66" s="82"/>
      <c r="V66" s="82"/>
      <c r="W66" s="84"/>
      <c r="X66" s="82"/>
      <c r="Y66" s="82"/>
      <c r="AD66"/>
      <c r="AH66" s="4"/>
      <c r="AP66" s="73" t="s">
        <v>361</v>
      </c>
      <c r="AQ66" s="73" t="s">
        <v>360</v>
      </c>
      <c r="AR66" s="73" t="s">
        <v>362</v>
      </c>
      <c r="AS66" s="73" t="s">
        <v>358</v>
      </c>
      <c r="AT66" s="73" t="s">
        <v>359</v>
      </c>
      <c r="AU66" s="177" t="e">
        <f t="shared" ref="AU66:AU79" si="46">IF(AV66=MIN($AV$65:$AV$79),"x","")</f>
        <v>#VALUE!</v>
      </c>
      <c r="AV66" s="176" t="e">
        <f>$AV$62+$AW$62+$AX$62+$AZ$62</f>
        <v>#VALUE!</v>
      </c>
      <c r="AW66" s="73" t="s">
        <v>361</v>
      </c>
      <c r="AX66" s="73" t="str">
        <f>$AV$63</f>
        <v>Hongarije</v>
      </c>
      <c r="AY66" s="73" t="str">
        <f>$AZ$63</f>
        <v>Oekraïne</v>
      </c>
      <c r="AZ66" s="73" t="str">
        <f>$AW$63</f>
        <v>Albanië</v>
      </c>
      <c r="BA66" s="73" t="str">
        <f>$AX$63</f>
        <v>Engeland</v>
      </c>
      <c r="BC66" s="127">
        <v>43</v>
      </c>
      <c r="BD66" s="73" t="e">
        <f>VLOOKUP(MIN($AV$65:$AV$79),$AV$65:$BA$79,5,FALSE)</f>
        <v>#VALUE!</v>
      </c>
    </row>
    <row r="67" spans="1:59" ht="14.25" customHeight="1">
      <c r="A67" s="116"/>
      <c r="B67" s="136"/>
      <c r="C67" s="76"/>
      <c r="E67" s="26"/>
      <c r="F67" s="26"/>
      <c r="G67" s="79"/>
      <c r="H67" s="78"/>
      <c r="I67" s="79"/>
      <c r="J67" s="79"/>
      <c r="K67" s="84"/>
      <c r="L67" s="82"/>
      <c r="M67" s="93"/>
      <c r="N67" s="93"/>
      <c r="O67" s="93"/>
      <c r="P67" s="93"/>
      <c r="Q67" s="93"/>
      <c r="R67" s="93"/>
      <c r="S67" s="93"/>
      <c r="T67" s="82"/>
      <c r="U67" s="82"/>
      <c r="V67" s="82"/>
      <c r="W67" s="84"/>
      <c r="X67" s="82"/>
      <c r="Y67" s="82"/>
      <c r="AD67"/>
      <c r="AH67" s="4"/>
      <c r="AP67" s="73" t="s">
        <v>363</v>
      </c>
      <c r="AQ67" s="73" t="s">
        <v>360</v>
      </c>
      <c r="AR67" s="73" t="s">
        <v>364</v>
      </c>
      <c r="AS67" s="73" t="s">
        <v>358</v>
      </c>
      <c r="AT67" s="73" t="s">
        <v>359</v>
      </c>
      <c r="AU67" s="177" t="e">
        <f t="shared" si="46"/>
        <v>#VALUE!</v>
      </c>
      <c r="AV67" s="176" t="e">
        <f>$AV$62+$AW$62+$AX$62+$BA$62</f>
        <v>#VALUE!</v>
      </c>
      <c r="AW67" s="73" t="s">
        <v>363</v>
      </c>
      <c r="AX67" s="73" t="str">
        <f>$AV$63</f>
        <v>Hongarije</v>
      </c>
      <c r="AY67" s="73" t="str">
        <f>$BA$63</f>
        <v>Tsjechië</v>
      </c>
      <c r="AZ67" s="73" t="str">
        <f>$AW$63</f>
        <v>Albanië</v>
      </c>
      <c r="BA67" s="73" t="str">
        <f>$AX$63</f>
        <v>Engeland</v>
      </c>
      <c r="BC67" s="127">
        <v>41</v>
      </c>
      <c r="BD67" s="73" t="e">
        <f>VLOOKUP(MIN($AV$65:$AV$79),$AV$65:$BA$79,6,FALSE)</f>
        <v>#VALUE!</v>
      </c>
    </row>
    <row r="68" spans="1:59" ht="14.25" customHeight="1">
      <c r="A68" s="116"/>
      <c r="B68" s="151"/>
      <c r="C68" s="152"/>
      <c r="D68" s="168"/>
      <c r="E68" s="78"/>
      <c r="G68" s="79"/>
      <c r="H68" s="78"/>
      <c r="I68" s="79"/>
      <c r="J68" s="79"/>
      <c r="K68" s="84"/>
      <c r="L68" s="82"/>
      <c r="M68" s="93" t="str">
        <f>Groepsloting!$B$136</f>
        <v>Juiste team in kwartfinale, op welke plaats dan ook</v>
      </c>
      <c r="N68" s="93"/>
      <c r="O68" s="93">
        <v>10</v>
      </c>
      <c r="P68" s="93"/>
      <c r="Q68" s="93"/>
      <c r="R68" s="93"/>
      <c r="S68" s="93"/>
      <c r="T68" s="82"/>
      <c r="U68" s="82"/>
      <c r="V68" s="82"/>
      <c r="W68" s="84"/>
      <c r="X68" s="82"/>
      <c r="Y68" s="82"/>
      <c r="AD68"/>
      <c r="AH68" s="4"/>
      <c r="AP68" s="73" t="s">
        <v>365</v>
      </c>
      <c r="AQ68" s="73" t="s">
        <v>357</v>
      </c>
      <c r="AR68" s="73" t="s">
        <v>362</v>
      </c>
      <c r="AS68" s="73" t="s">
        <v>360</v>
      </c>
      <c r="AT68" s="73" t="s">
        <v>358</v>
      </c>
      <c r="AU68" s="177" t="e">
        <f t="shared" si="46"/>
        <v>#VALUE!</v>
      </c>
      <c r="AV68" s="176" t="e">
        <f>$AV$62+$AW$62+$AY$62+$AZ$62</f>
        <v>#VALUE!</v>
      </c>
      <c r="AW68" s="73" t="s">
        <v>365</v>
      </c>
      <c r="AX68" s="73" t="str">
        <f>$AY$63</f>
        <v>Frankrijk</v>
      </c>
      <c r="AY68" s="73" t="str">
        <f>$AZ$63</f>
        <v>Oekraïne</v>
      </c>
      <c r="AZ68" s="73" t="str">
        <f>$AV$63</f>
        <v>Hongarije</v>
      </c>
      <c r="BA68" s="73" t="str">
        <f>$AW$63</f>
        <v>Albanië</v>
      </c>
    </row>
    <row r="69" spans="1:59" ht="14.25" customHeight="1">
      <c r="A69" s="135"/>
      <c r="B69" s="153" t="str">
        <f>Groepsloting!$B$82</f>
        <v>Halve finales</v>
      </c>
      <c r="C69" s="145"/>
      <c r="D69" s="146" t="str">
        <f>Groepsloting!$B$64</f>
        <v>Wedstrijd</v>
      </c>
      <c r="E69" s="147"/>
      <c r="F69" s="146"/>
      <c r="G69" s="146" t="str">
        <f>Groepsloting!$B$65</f>
        <v>Uitslag</v>
      </c>
      <c r="H69" s="146"/>
      <c r="I69" s="146"/>
      <c r="J69" s="170" t="str">
        <f>Groepsloting!$B$66</f>
        <v>Toto</v>
      </c>
      <c r="K69" s="84"/>
      <c r="L69" s="82"/>
      <c r="M69" s="93"/>
      <c r="N69" s="93"/>
      <c r="O69" s="93"/>
      <c r="P69" s="93"/>
      <c r="Q69" s="93"/>
      <c r="R69" s="93"/>
      <c r="S69" s="93"/>
      <c r="T69" s="82"/>
      <c r="U69" s="82"/>
      <c r="V69" s="82"/>
      <c r="W69" s="84"/>
      <c r="X69" s="82"/>
      <c r="Y69" s="82"/>
      <c r="AP69" s="73" t="s">
        <v>366</v>
      </c>
      <c r="AQ69" s="73" t="s">
        <v>357</v>
      </c>
      <c r="AR69" s="73" t="s">
        <v>364</v>
      </c>
      <c r="AS69" s="73" t="s">
        <v>360</v>
      </c>
      <c r="AT69" s="73" t="s">
        <v>358</v>
      </c>
      <c r="AU69" s="177" t="e">
        <f t="shared" si="46"/>
        <v>#VALUE!</v>
      </c>
      <c r="AV69" s="176" t="e">
        <f>$AV$62+$AW$62+$AY$62+$BA$62</f>
        <v>#VALUE!</v>
      </c>
      <c r="AW69" s="73" t="s">
        <v>366</v>
      </c>
      <c r="AX69" s="73" t="str">
        <f>$AY$63</f>
        <v>Frankrijk</v>
      </c>
      <c r="AY69" s="73" t="str">
        <f>$BA$63</f>
        <v>Tsjechië</v>
      </c>
      <c r="AZ69" s="73" t="str">
        <f>$AV$63</f>
        <v>Hongarije</v>
      </c>
      <c r="BA69" s="73" t="str">
        <f>$AW$63</f>
        <v>Albanië</v>
      </c>
    </row>
    <row r="70" spans="1:59" ht="14.25" customHeight="1">
      <c r="A70" s="135">
        <v>49</v>
      </c>
      <c r="B70" s="154">
        <v>45482</v>
      </c>
      <c r="C70" s="141" t="s">
        <v>103</v>
      </c>
      <c r="D70" s="121" t="str">
        <f>IF(J64=1,D64,IF(J64=2,F64,"vul winnaar in KF2"))</f>
        <v>vul winnaar in KF2</v>
      </c>
      <c r="E70" s="169" t="s">
        <v>5</v>
      </c>
      <c r="F70" s="121" t="str">
        <f>IF(J63=1,D63,IF(J63=2,F63,"vul winnaar in KF1"))</f>
        <v>vul winnaar in KF1</v>
      </c>
      <c r="G70" s="22"/>
      <c r="H70" s="150" t="s">
        <v>5</v>
      </c>
      <c r="I70" s="22"/>
      <c r="J70" s="22">
        <f>IF(AND(G70="",I70=""),0,IF(G70&gt;I70,1,IF(G70&lt;I70,2,3)))</f>
        <v>0</v>
      </c>
      <c r="K70" s="159" t="s">
        <v>85</v>
      </c>
      <c r="L70" s="82"/>
      <c r="M70" s="93" t="str">
        <f>Groepsloting!$B$137</f>
        <v>Juiste team in halve finale, op welke plaats dan ook</v>
      </c>
      <c r="N70" s="93"/>
      <c r="O70" s="93">
        <v>20</v>
      </c>
      <c r="P70" s="93"/>
      <c r="Q70" s="93"/>
      <c r="R70" s="93"/>
      <c r="S70" s="93"/>
      <c r="T70" s="82"/>
      <c r="U70" s="82"/>
      <c r="V70" s="82"/>
      <c r="W70" s="84"/>
      <c r="X70" s="82"/>
      <c r="Y70" s="82"/>
      <c r="AP70" s="73" t="s">
        <v>367</v>
      </c>
      <c r="AQ70" s="73" t="s">
        <v>362</v>
      </c>
      <c r="AR70" s="73" t="s">
        <v>364</v>
      </c>
      <c r="AS70" s="73" t="s">
        <v>358</v>
      </c>
      <c r="AT70" s="73" t="s">
        <v>360</v>
      </c>
      <c r="AU70" s="177" t="e">
        <f t="shared" si="46"/>
        <v>#VALUE!</v>
      </c>
      <c r="AV70" s="176" t="e">
        <f>$AV$62+$AW$62+$AZ$62+$BA$62</f>
        <v>#VALUE!</v>
      </c>
      <c r="AW70" s="73" t="s">
        <v>367</v>
      </c>
      <c r="AX70" s="73" t="str">
        <f>$AZ$63</f>
        <v>Oekraïne</v>
      </c>
      <c r="AY70" s="73" t="str">
        <f>$BA$63</f>
        <v>Tsjechië</v>
      </c>
      <c r="AZ70" s="73" t="str">
        <f>$AW$63</f>
        <v>Albanië</v>
      </c>
      <c r="BA70" s="73" t="str">
        <f>$AV$63</f>
        <v>Hongarije</v>
      </c>
    </row>
    <row r="71" spans="1:59" ht="14.25" customHeight="1">
      <c r="A71" s="135">
        <v>50</v>
      </c>
      <c r="B71" s="154">
        <v>45483</v>
      </c>
      <c r="C71" s="141" t="s">
        <v>103</v>
      </c>
      <c r="D71" s="121" t="str">
        <f>IF(J66=1,D66,IF(J66=2,F66,"vul winnaar in KF4"))</f>
        <v>vul winnaar in KF4</v>
      </c>
      <c r="E71" s="169" t="s">
        <v>5</v>
      </c>
      <c r="F71" s="121" t="str">
        <f>IF(J65=1,D65,IF(J65=2,F65,"vul winnaar in KF3"))</f>
        <v>vul winnaar in KF3</v>
      </c>
      <c r="G71" s="22"/>
      <c r="H71" s="150" t="s">
        <v>5</v>
      </c>
      <c r="I71" s="22"/>
      <c r="J71" s="118">
        <f>IF(AND(G71="",I71=""),0,IF(G71&gt;I71,1,IF(G71&lt;I71,2,3)))</f>
        <v>0</v>
      </c>
      <c r="K71" s="159" t="s">
        <v>86</v>
      </c>
      <c r="L71" s="82"/>
      <c r="M71" s="93"/>
      <c r="N71" s="93"/>
      <c r="O71" s="93"/>
      <c r="P71" s="93"/>
      <c r="Q71" s="93"/>
      <c r="R71" s="93"/>
      <c r="S71" s="93"/>
      <c r="T71" s="82"/>
      <c r="U71" s="82"/>
      <c r="V71" s="82"/>
      <c r="W71" s="84"/>
      <c r="X71" s="82"/>
      <c r="Y71" s="82"/>
      <c r="AP71" s="73" t="s">
        <v>368</v>
      </c>
      <c r="AQ71" s="73" t="s">
        <v>362</v>
      </c>
      <c r="AR71" s="73" t="s">
        <v>357</v>
      </c>
      <c r="AS71" s="73" t="s">
        <v>359</v>
      </c>
      <c r="AT71" s="73" t="s">
        <v>360</v>
      </c>
      <c r="AU71" s="177" t="e">
        <f t="shared" si="46"/>
        <v>#VALUE!</v>
      </c>
      <c r="AV71" s="176" t="e">
        <f>$AV$62+$AX$62+$AY$62+$AZ$62</f>
        <v>#VALUE!</v>
      </c>
      <c r="AW71" s="73" t="s">
        <v>368</v>
      </c>
      <c r="AX71" s="73" t="str">
        <f>$AZ$63</f>
        <v>Oekraïne</v>
      </c>
      <c r="AY71" s="73" t="str">
        <f>$AY$63</f>
        <v>Frankrijk</v>
      </c>
      <c r="AZ71" s="73" t="str">
        <f>$AX$63</f>
        <v>Engeland</v>
      </c>
      <c r="BA71" s="73" t="str">
        <f>$AV$63</f>
        <v>Hongarije</v>
      </c>
    </row>
    <row r="72" spans="1:59" ht="14.25" customHeight="1">
      <c r="A72" s="116"/>
      <c r="B72" s="136"/>
      <c r="C72" s="76"/>
      <c r="E72" s="78"/>
      <c r="G72" s="79"/>
      <c r="H72" s="78"/>
      <c r="I72" s="79"/>
      <c r="J72" s="79"/>
      <c r="K72" s="158"/>
      <c r="L72" s="82"/>
      <c r="M72" s="93" t="str">
        <f>Groepsloting!$B$139</f>
        <v>Juiste team in finale, op welke plaats dan ook</v>
      </c>
      <c r="N72" s="93"/>
      <c r="O72" s="93">
        <v>20</v>
      </c>
      <c r="P72" s="93"/>
      <c r="Q72" s="93"/>
      <c r="R72" s="93"/>
      <c r="S72" s="93"/>
      <c r="T72" s="82"/>
      <c r="U72" s="82"/>
      <c r="V72" s="82"/>
      <c r="W72" s="84"/>
      <c r="X72" s="82"/>
      <c r="Y72" s="82"/>
      <c r="AP72" s="73" t="s">
        <v>369</v>
      </c>
      <c r="AQ72" s="73" t="s">
        <v>364</v>
      </c>
      <c r="AR72" s="73" t="s">
        <v>357</v>
      </c>
      <c r="AS72" s="73" t="s">
        <v>359</v>
      </c>
      <c r="AT72" s="73" t="s">
        <v>360</v>
      </c>
      <c r="AU72" s="177" t="e">
        <f t="shared" si="46"/>
        <v>#VALUE!</v>
      </c>
      <c r="AV72" s="176" t="e">
        <f>$AV$62+$AX$62+$AY$62+$BA$62</f>
        <v>#VALUE!</v>
      </c>
      <c r="AW72" s="73" t="s">
        <v>369</v>
      </c>
      <c r="AX72" s="73" t="str">
        <f>$BA$63</f>
        <v>Tsjechië</v>
      </c>
      <c r="AY72" s="73" t="str">
        <f>$AY$63</f>
        <v>Frankrijk</v>
      </c>
      <c r="AZ72" s="73" t="str">
        <f>$AX$63</f>
        <v>Engeland</v>
      </c>
      <c r="BA72" s="73" t="str">
        <f>$AV$63</f>
        <v>Hongarije</v>
      </c>
    </row>
    <row r="73" spans="1:59" ht="14.25" customHeight="1">
      <c r="A73" s="116"/>
      <c r="B73" s="155"/>
      <c r="C73" s="152"/>
      <c r="D73" s="77"/>
      <c r="E73" s="78"/>
      <c r="F73" s="77"/>
      <c r="G73" s="79"/>
      <c r="H73" s="78"/>
      <c r="I73" s="79"/>
      <c r="J73" s="79"/>
      <c r="K73" s="84"/>
      <c r="L73" s="82"/>
      <c r="M73" s="93"/>
      <c r="N73" s="93"/>
      <c r="O73" s="93"/>
      <c r="P73" s="93"/>
      <c r="Q73" s="93"/>
      <c r="R73" s="93"/>
      <c r="S73" s="93"/>
      <c r="T73" s="82"/>
      <c r="U73" s="82"/>
      <c r="V73" s="82"/>
      <c r="W73" s="84"/>
      <c r="X73" s="82"/>
      <c r="Y73" s="82"/>
      <c r="AP73" s="73" t="s">
        <v>370</v>
      </c>
      <c r="AQ73" s="73" t="s">
        <v>362</v>
      </c>
      <c r="AR73" s="73" t="s">
        <v>364</v>
      </c>
      <c r="AS73" s="73" t="s">
        <v>359</v>
      </c>
      <c r="AT73" s="73" t="s">
        <v>360</v>
      </c>
      <c r="AU73" s="177" t="e">
        <f>IF(AV73=MIN($AV$65:$AV$79),"--&gt;","")</f>
        <v>#VALUE!</v>
      </c>
      <c r="AV73" s="176" t="e">
        <f>$AV$62+$AX$62+$AZ$62+$BA$62</f>
        <v>#VALUE!</v>
      </c>
      <c r="AW73" s="73" t="s">
        <v>370</v>
      </c>
      <c r="AX73" s="73" t="str">
        <f>$AZ$63</f>
        <v>Oekraïne</v>
      </c>
      <c r="AY73" s="73" t="str">
        <f>$BA$63</f>
        <v>Tsjechië</v>
      </c>
      <c r="AZ73" s="73" t="str">
        <f>$AX$63</f>
        <v>Engeland</v>
      </c>
      <c r="BA73" s="73" t="str">
        <f>$AV$63</f>
        <v>Hongarije</v>
      </c>
    </row>
    <row r="74" spans="1:59" ht="14.25" customHeight="1">
      <c r="A74" s="135"/>
      <c r="B74" s="153" t="str">
        <f>Groepsloting!$B$89</f>
        <v>Finale</v>
      </c>
      <c r="C74" s="145"/>
      <c r="D74" s="146" t="str">
        <f>Groepsloting!$B$64</f>
        <v>Wedstrijd</v>
      </c>
      <c r="E74" s="147"/>
      <c r="F74" s="146"/>
      <c r="G74" s="146" t="str">
        <f>Groepsloting!$B$65</f>
        <v>Uitslag</v>
      </c>
      <c r="H74" s="146"/>
      <c r="I74" s="146"/>
      <c r="J74" s="170" t="str">
        <f>Groepsloting!$B$66</f>
        <v>Toto</v>
      </c>
      <c r="K74" s="84"/>
      <c r="L74" s="82"/>
      <c r="M74" s="93" t="str">
        <f>Groepsloting!$B$140</f>
        <v>Juiste voorspelling van Europees kampioen</v>
      </c>
      <c r="N74" s="93"/>
      <c r="O74" s="93">
        <v>25</v>
      </c>
      <c r="P74" s="93"/>
      <c r="Q74" s="93"/>
      <c r="R74" s="93"/>
      <c r="S74" s="93"/>
      <c r="T74" s="82"/>
      <c r="U74" s="82"/>
      <c r="V74" s="82"/>
      <c r="W74" s="84"/>
      <c r="X74" s="82"/>
      <c r="Y74" s="82"/>
      <c r="AP74" s="73" t="s">
        <v>371</v>
      </c>
      <c r="AQ74" s="73" t="s">
        <v>362</v>
      </c>
      <c r="AR74" s="73" t="s">
        <v>364</v>
      </c>
      <c r="AS74" s="73" t="s">
        <v>357</v>
      </c>
      <c r="AT74" s="73" t="s">
        <v>360</v>
      </c>
      <c r="AU74" s="177" t="e">
        <f t="shared" si="46"/>
        <v>#VALUE!</v>
      </c>
      <c r="AV74" s="176" t="e">
        <f>$AV$62+$AY$62+$AZ$62+$BA$62</f>
        <v>#VALUE!</v>
      </c>
      <c r="AW74" s="73" t="s">
        <v>371</v>
      </c>
      <c r="AX74" s="73" t="str">
        <f>$AZ$63</f>
        <v>Oekraïne</v>
      </c>
      <c r="AY74" s="73" t="str">
        <f>$BA$63</f>
        <v>Tsjechië</v>
      </c>
      <c r="AZ74" s="73" t="str">
        <f>$AY$63</f>
        <v>Frankrijk</v>
      </c>
      <c r="BA74" s="73" t="str">
        <f>$AV$63</f>
        <v>Hongarije</v>
      </c>
    </row>
    <row r="75" spans="1:59" ht="14.25" customHeight="1">
      <c r="A75" s="135">
        <v>51</v>
      </c>
      <c r="B75" s="154">
        <v>45487</v>
      </c>
      <c r="C75" s="141" t="s">
        <v>103</v>
      </c>
      <c r="D75" s="121" t="str">
        <f>IF(J70=1,D70,IF(J70=2,F70,"vul winnaar in HF1"))</f>
        <v>vul winnaar in HF1</v>
      </c>
      <c r="E75" s="169" t="s">
        <v>5</v>
      </c>
      <c r="F75" s="123" t="str">
        <f>IF(J71=1,D71,IF(J71=2,F71,"vul winnaar in HF2"))</f>
        <v>vul winnaar in HF2</v>
      </c>
      <c r="G75" s="22"/>
      <c r="H75" s="150" t="s">
        <v>5</v>
      </c>
      <c r="I75" s="22"/>
      <c r="J75" s="22">
        <f>IF(AND(G75="",I75=""),0,IF(G75&gt;I75,1,IF(G75&lt;I75,2,3)))</f>
        <v>0</v>
      </c>
      <c r="K75" s="84"/>
      <c r="L75" s="82"/>
      <c r="P75" s="93"/>
      <c r="Q75" s="93"/>
      <c r="R75" s="93"/>
      <c r="S75" s="93"/>
      <c r="T75" s="82"/>
      <c r="U75" s="82"/>
      <c r="V75" s="82"/>
      <c r="W75" s="84"/>
      <c r="X75" s="82"/>
      <c r="Y75" s="82"/>
      <c r="AP75" s="73" t="s">
        <v>372</v>
      </c>
      <c r="AQ75" s="73" t="s">
        <v>362</v>
      </c>
      <c r="AR75" s="73" t="s">
        <v>357</v>
      </c>
      <c r="AS75" s="73" t="s">
        <v>358</v>
      </c>
      <c r="AT75" s="73" t="s">
        <v>359</v>
      </c>
      <c r="AU75" s="177" t="e">
        <f t="shared" si="46"/>
        <v>#VALUE!</v>
      </c>
      <c r="AV75" s="176" t="e">
        <f>$AW$62+$AX$62+$AY$62+$AZ$62</f>
        <v>#VALUE!</v>
      </c>
      <c r="AW75" s="73" t="s">
        <v>372</v>
      </c>
      <c r="AX75" s="73" t="str">
        <f>$AZ$63</f>
        <v>Oekraïne</v>
      </c>
      <c r="AY75" s="73" t="str">
        <f>$AY$63</f>
        <v>Frankrijk</v>
      </c>
      <c r="AZ75" s="73" t="str">
        <f>$AW$63</f>
        <v>Albanië</v>
      </c>
      <c r="BA75" s="73" t="str">
        <f>$AX$63</f>
        <v>Engeland</v>
      </c>
    </row>
    <row r="76" spans="1:59" ht="14.25" customHeight="1">
      <c r="A76" s="116"/>
      <c r="B76" s="136"/>
      <c r="C76" s="76"/>
      <c r="D76" s="77"/>
      <c r="E76" s="78"/>
      <c r="F76" s="77"/>
      <c r="G76" s="79"/>
      <c r="H76" s="78"/>
      <c r="I76" s="79"/>
      <c r="J76" s="79"/>
      <c r="K76" s="158"/>
      <c r="L76" s="82"/>
      <c r="M76" s="186" t="str">
        <f>Groepsloting!$B$143</f>
        <v>Prijzen</v>
      </c>
      <c r="N76" s="186"/>
      <c r="O76" s="186"/>
      <c r="P76" s="186"/>
      <c r="Q76" s="186"/>
      <c r="R76" s="186"/>
      <c r="S76" s="186"/>
      <c r="T76" s="186"/>
      <c r="U76" s="186"/>
      <c r="V76" s="186"/>
      <c r="W76" s="84"/>
      <c r="X76" s="82"/>
      <c r="Y76" s="82"/>
      <c r="AP76" s="73" t="s">
        <v>373</v>
      </c>
      <c r="AQ76" s="73" t="s">
        <v>364</v>
      </c>
      <c r="AR76" s="73" t="s">
        <v>357</v>
      </c>
      <c r="AS76" s="73" t="s">
        <v>359</v>
      </c>
      <c r="AT76" s="73" t="s">
        <v>358</v>
      </c>
      <c r="AU76" s="177" t="e">
        <f t="shared" si="46"/>
        <v>#VALUE!</v>
      </c>
      <c r="AV76" s="176" t="e">
        <f>$AW$62+$AX$62+$AY$62+$BA$62</f>
        <v>#VALUE!</v>
      </c>
      <c r="AW76" s="73" t="s">
        <v>373</v>
      </c>
      <c r="AX76" s="73" t="str">
        <f>$BA$63</f>
        <v>Tsjechië</v>
      </c>
      <c r="AY76" s="73" t="str">
        <f>$AY$63</f>
        <v>Frankrijk</v>
      </c>
      <c r="AZ76" s="73" t="str">
        <f>$AX$63</f>
        <v>Engeland</v>
      </c>
      <c r="BA76" s="73" t="str">
        <f>$AW$63</f>
        <v>Albanië</v>
      </c>
    </row>
    <row r="77" spans="1:59" ht="14.25" customHeight="1">
      <c r="A77" s="116"/>
      <c r="B77" s="136"/>
      <c r="C77" s="76"/>
      <c r="D77" s="77"/>
      <c r="E77" s="78"/>
      <c r="F77" s="77"/>
      <c r="G77" s="79"/>
      <c r="H77" s="78"/>
      <c r="I77" s="79"/>
      <c r="J77" s="79"/>
      <c r="K77" s="84"/>
      <c r="L77" s="82"/>
      <c r="M77" s="82"/>
      <c r="N77" s="82"/>
      <c r="O77" s="82"/>
      <c r="P77" s="82"/>
      <c r="Q77" s="82"/>
      <c r="R77" s="82"/>
      <c r="S77" s="82"/>
      <c r="T77" s="82"/>
      <c r="U77" s="82"/>
      <c r="V77" s="82"/>
      <c r="W77" s="84"/>
      <c r="X77" s="82"/>
      <c r="Y77" s="82"/>
      <c r="AP77" s="73" t="s">
        <v>374</v>
      </c>
      <c r="AQ77" s="73" t="s">
        <v>364</v>
      </c>
      <c r="AR77" s="73" t="s">
        <v>362</v>
      </c>
      <c r="AS77" s="73" t="s">
        <v>359</v>
      </c>
      <c r="AT77" s="73" t="s">
        <v>358</v>
      </c>
      <c r="AU77" s="177" t="e">
        <f t="shared" si="46"/>
        <v>#VALUE!</v>
      </c>
      <c r="AV77" s="176" t="e">
        <f>$AW$62+$AX$62+$AZ$62+$BA$62</f>
        <v>#VALUE!</v>
      </c>
      <c r="AW77" s="73" t="s">
        <v>374</v>
      </c>
      <c r="AX77" s="73" t="str">
        <f>$BA$63</f>
        <v>Tsjechië</v>
      </c>
      <c r="AY77" s="73" t="str">
        <f>$AZ$63</f>
        <v>Oekraïne</v>
      </c>
      <c r="AZ77" s="73" t="str">
        <f>$AX$63</f>
        <v>Engeland</v>
      </c>
      <c r="BA77" s="73" t="str">
        <f>$AW$63</f>
        <v>Albanië</v>
      </c>
    </row>
    <row r="78" spans="1:59" ht="14.25" customHeight="1">
      <c r="A78" s="135"/>
      <c r="B78" s="187" t="str">
        <f>Groepsloting!$B$90</f>
        <v>Europees kampioen</v>
      </c>
      <c r="C78" s="188"/>
      <c r="D78" s="188"/>
      <c r="E78" s="189"/>
      <c r="F78" s="190" t="str">
        <f>IF(J75=1,D75,IF(J75=2,F75,"vul winnaar finale in"))</f>
        <v>vul winnaar finale in</v>
      </c>
      <c r="G78" s="191"/>
      <c r="H78" s="191"/>
      <c r="I78" s="191"/>
      <c r="J78" s="192"/>
      <c r="K78" s="84"/>
      <c r="L78" s="82"/>
      <c r="M78" s="93" t="str">
        <f>Groepsloting!$B$144</f>
        <v>1e prijs</v>
      </c>
      <c r="N78" s="93"/>
      <c r="O78" s="95">
        <v>0.35</v>
      </c>
      <c r="P78" s="93"/>
      <c r="Q78" s="93"/>
      <c r="R78" s="93" t="str">
        <f>Groepsloting!$B$154</f>
        <v>Bij gelijke stand worden prijzen gedeeld</v>
      </c>
      <c r="S78" s="93"/>
      <c r="T78" s="93"/>
      <c r="U78" s="93"/>
      <c r="V78" s="93"/>
      <c r="W78" s="84"/>
      <c r="X78" s="82"/>
      <c r="Y78" s="82"/>
      <c r="AP78" s="73" t="s">
        <v>375</v>
      </c>
      <c r="AQ78" s="73" t="s">
        <v>364</v>
      </c>
      <c r="AR78" s="73" t="s">
        <v>362</v>
      </c>
      <c r="AS78" s="73" t="s">
        <v>357</v>
      </c>
      <c r="AT78" s="73" t="s">
        <v>358</v>
      </c>
      <c r="AU78" s="177" t="e">
        <f>IF(AV78=MIN($AV$65:$AV$79),"--&gt;","")</f>
        <v>#VALUE!</v>
      </c>
      <c r="AV78" s="176" t="e">
        <f>$AW$62+$AY$62+$AZ$62+$BA$62</f>
        <v>#VALUE!</v>
      </c>
      <c r="AW78" s="73" t="s">
        <v>375</v>
      </c>
      <c r="AX78" s="73" t="str">
        <f>$BA$63</f>
        <v>Tsjechië</v>
      </c>
      <c r="AY78" s="73" t="str">
        <f>$AZ$63</f>
        <v>Oekraïne</v>
      </c>
      <c r="AZ78" s="73" t="str">
        <f>$AY$63</f>
        <v>Frankrijk</v>
      </c>
      <c r="BA78" s="73" t="str">
        <f>$AW$63</f>
        <v>Albanië</v>
      </c>
    </row>
    <row r="79" spans="1:59" ht="14.25" customHeight="1">
      <c r="A79" s="116"/>
      <c r="B79" s="136"/>
      <c r="C79" s="76"/>
      <c r="D79" s="77"/>
      <c r="E79" s="78"/>
      <c r="F79" s="77"/>
      <c r="G79" s="79"/>
      <c r="H79" s="78"/>
      <c r="I79" s="79"/>
      <c r="J79" s="79"/>
      <c r="K79" s="84"/>
      <c r="L79" s="82"/>
      <c r="M79" s="93" t="str">
        <f>Groepsloting!$B$145</f>
        <v>2e prijs</v>
      </c>
      <c r="N79" s="96"/>
      <c r="O79" s="97">
        <v>0.25</v>
      </c>
      <c r="P79" s="96"/>
      <c r="Q79" s="96"/>
      <c r="R79" s="96"/>
      <c r="S79" s="96"/>
      <c r="T79" s="96"/>
      <c r="U79" s="96"/>
      <c r="V79" s="96"/>
      <c r="W79" s="84"/>
      <c r="X79" s="82"/>
      <c r="Y79" s="82"/>
      <c r="AP79" s="73" t="s">
        <v>376</v>
      </c>
      <c r="AQ79" s="73" t="s">
        <v>364</v>
      </c>
      <c r="AR79" s="73" t="s">
        <v>362</v>
      </c>
      <c r="AS79" s="73" t="s">
        <v>357</v>
      </c>
      <c r="AT79" s="73" t="s">
        <v>359</v>
      </c>
      <c r="AU79" s="177" t="e">
        <f t="shared" si="46"/>
        <v>#VALUE!</v>
      </c>
      <c r="AV79" s="176" t="e">
        <f>$AX$62+$AY$62+$AZ$62+$BA$62</f>
        <v>#VALUE!</v>
      </c>
      <c r="AW79" s="73" t="s">
        <v>376</v>
      </c>
      <c r="AX79" s="73" t="str">
        <f>$BA$63</f>
        <v>Tsjechië</v>
      </c>
      <c r="AY79" s="73" t="str">
        <f>$AZ$63</f>
        <v>Oekraïne</v>
      </c>
      <c r="AZ79" s="73" t="str">
        <f>$AY$63</f>
        <v>Frankrijk</v>
      </c>
      <c r="BA79" s="73" t="str">
        <f>$AX$63</f>
        <v>Engeland</v>
      </c>
    </row>
    <row r="80" spans="1:59" ht="14.25" customHeight="1">
      <c r="A80" s="116"/>
      <c r="B80" s="136"/>
      <c r="C80" s="76"/>
      <c r="D80" s="77"/>
      <c r="E80" s="78"/>
      <c r="F80" s="77"/>
      <c r="G80" s="79"/>
      <c r="H80" s="78"/>
      <c r="I80" s="79"/>
      <c r="J80" s="79"/>
      <c r="K80" s="84"/>
      <c r="L80" s="82"/>
      <c r="M80" s="93" t="str">
        <f>Groepsloting!$B$146</f>
        <v>3e prijs</v>
      </c>
      <c r="N80" s="93"/>
      <c r="O80" s="95">
        <v>0.15</v>
      </c>
      <c r="P80" s="93"/>
      <c r="Q80" s="93"/>
      <c r="R80" s="93"/>
      <c r="S80" s="93"/>
      <c r="T80" s="93"/>
      <c r="U80" s="93"/>
      <c r="V80" s="93"/>
      <c r="W80" s="84"/>
      <c r="X80" s="82"/>
      <c r="Y80" s="82"/>
    </row>
    <row r="81" spans="1:25" ht="14.25" customHeight="1">
      <c r="A81" s="116"/>
      <c r="B81" s="136"/>
      <c r="C81" s="76"/>
      <c r="D81" s="77"/>
      <c r="E81" s="78"/>
      <c r="F81" s="77"/>
      <c r="G81" s="79"/>
      <c r="H81" s="78"/>
      <c r="I81" s="79"/>
      <c r="J81" s="79"/>
      <c r="K81" s="84"/>
      <c r="M81" s="93" t="str">
        <f>Groepsloting!$B$147</f>
        <v>13e prijs</v>
      </c>
      <c r="N81" s="82"/>
      <c r="O81" s="95">
        <v>0.05</v>
      </c>
      <c r="P81" s="93"/>
      <c r="Q81" s="82"/>
      <c r="R81" s="82"/>
      <c r="S81" s="82"/>
      <c r="T81" s="82"/>
      <c r="U81" s="82"/>
      <c r="V81" s="82"/>
      <c r="W81" s="84"/>
      <c r="X81" s="82"/>
      <c r="Y81" s="82"/>
    </row>
    <row r="82" spans="1:25" ht="14.25" customHeight="1">
      <c r="A82" s="116"/>
      <c r="B82" s="136"/>
      <c r="C82" s="76"/>
      <c r="D82" s="77"/>
      <c r="E82" s="78"/>
      <c r="F82" s="77"/>
      <c r="G82" s="79"/>
      <c r="H82" s="78"/>
      <c r="I82" s="79"/>
      <c r="J82" s="79"/>
      <c r="K82" s="84"/>
      <c r="L82" s="82"/>
      <c r="M82" s="93" t="str">
        <f>Groepsloting!$B$148</f>
        <v>23e prijs</v>
      </c>
      <c r="N82" s="82"/>
      <c r="O82" s="95">
        <v>0.05</v>
      </c>
      <c r="P82" s="93"/>
      <c r="Q82" s="82"/>
      <c r="R82" s="82"/>
      <c r="S82" s="82"/>
      <c r="T82" s="82"/>
      <c r="U82" s="82"/>
      <c r="V82" s="82"/>
      <c r="W82" s="84"/>
      <c r="X82" s="82"/>
      <c r="Y82" s="82"/>
    </row>
    <row r="83" spans="1:25" ht="14.25" customHeight="1">
      <c r="A83" s="116"/>
      <c r="B83" s="136"/>
      <c r="C83" s="76"/>
      <c r="D83" s="77"/>
      <c r="E83" s="78"/>
      <c r="F83" s="77"/>
      <c r="G83" s="79"/>
      <c r="H83" s="78"/>
      <c r="I83" s="79"/>
      <c r="J83" s="79"/>
      <c r="K83" s="84"/>
      <c r="L83" s="82"/>
      <c r="M83" s="93" t="str">
        <f>Groepsloting!$B$149</f>
        <v>33e prijs</v>
      </c>
      <c r="N83" s="82"/>
      <c r="O83" s="95">
        <v>0.05</v>
      </c>
      <c r="P83" s="93"/>
      <c r="Q83" s="82"/>
      <c r="R83" s="82"/>
      <c r="S83" s="82"/>
      <c r="T83" s="82"/>
      <c r="U83" s="82"/>
      <c r="V83" s="82"/>
      <c r="W83" s="84"/>
      <c r="X83" s="82"/>
      <c r="Y83" s="82"/>
    </row>
    <row r="84" spans="1:25" ht="14.25" customHeight="1">
      <c r="A84" s="116"/>
      <c r="B84" s="136"/>
      <c r="C84" s="76"/>
      <c r="D84" s="77"/>
      <c r="E84" s="78"/>
      <c r="F84" s="77"/>
      <c r="G84" s="79"/>
      <c r="H84" s="78"/>
      <c r="I84" s="79"/>
      <c r="J84" s="79"/>
      <c r="K84" s="84"/>
      <c r="L84" s="82"/>
      <c r="M84" s="93" t="str">
        <f>Groepsloting!$B$150</f>
        <v>43e prijs</v>
      </c>
      <c r="N84" s="82"/>
      <c r="O84" s="95">
        <v>0.05</v>
      </c>
      <c r="P84" s="93"/>
      <c r="Q84" s="82"/>
      <c r="R84" s="82"/>
      <c r="S84" s="82"/>
      <c r="T84" s="82"/>
      <c r="U84" s="82"/>
      <c r="V84" s="82"/>
      <c r="W84" s="84"/>
      <c r="X84" s="82"/>
      <c r="Y84" s="82"/>
    </row>
    <row r="85" spans="1:25" ht="14.25" customHeight="1">
      <c r="A85" s="116"/>
      <c r="B85" s="136"/>
      <c r="C85" s="76"/>
      <c r="D85" s="77"/>
      <c r="E85" s="78"/>
      <c r="F85" s="77"/>
      <c r="G85" s="79"/>
      <c r="H85" s="78"/>
      <c r="I85" s="79"/>
      <c r="J85" s="79"/>
      <c r="K85" s="84"/>
      <c r="L85" s="82"/>
      <c r="M85" s="93" t="str">
        <f>Groepsloting!$B$151</f>
        <v>53e prijs</v>
      </c>
      <c r="N85" s="82"/>
      <c r="O85" s="95">
        <v>0.05</v>
      </c>
      <c r="P85" s="93"/>
      <c r="Q85" s="82"/>
      <c r="R85" s="82"/>
      <c r="S85" s="82"/>
      <c r="T85" s="82"/>
      <c r="U85" s="82"/>
      <c r="V85" s="82"/>
      <c r="W85" s="84"/>
      <c r="X85" s="82"/>
      <c r="Y85" s="82"/>
    </row>
    <row r="86" spans="1:25" ht="14.25" customHeight="1">
      <c r="A86" s="116"/>
      <c r="B86" s="136"/>
      <c r="C86" s="76"/>
      <c r="D86" s="77"/>
      <c r="E86" s="78"/>
      <c r="F86" s="77"/>
      <c r="G86" s="79"/>
      <c r="H86" s="78"/>
      <c r="I86" s="79"/>
      <c r="J86" s="79"/>
      <c r="K86" s="84"/>
      <c r="L86" s="82"/>
      <c r="M86" s="93" t="str">
        <f>Groepsloting!$B$152</f>
        <v>Troostprijs</v>
      </c>
      <c r="N86" s="82"/>
      <c r="O86" s="98" t="str">
        <f>Groepsloting!B153</f>
        <v>Bratwurst</v>
      </c>
      <c r="P86" s="93"/>
      <c r="Q86" s="82"/>
      <c r="R86" s="82"/>
      <c r="S86" s="82"/>
      <c r="T86" s="82"/>
      <c r="U86" s="82"/>
      <c r="V86" s="82"/>
      <c r="W86" s="84"/>
      <c r="X86" s="82"/>
      <c r="Y86" s="82"/>
    </row>
    <row r="87" spans="1:25" ht="14.25" customHeight="1">
      <c r="A87" s="116"/>
      <c r="B87" s="136"/>
      <c r="C87" s="76"/>
      <c r="D87" s="77"/>
      <c r="E87" s="78"/>
      <c r="F87" s="77"/>
      <c r="G87" s="79"/>
      <c r="H87" s="78"/>
      <c r="I87" s="79"/>
      <c r="J87" s="79"/>
      <c r="K87" s="84"/>
      <c r="L87" s="82"/>
      <c r="W87" s="89"/>
      <c r="X87" s="82"/>
      <c r="Y87" s="82"/>
    </row>
    <row r="88" spans="1:25" ht="14.25" customHeight="1">
      <c r="A88" s="116"/>
      <c r="B88" s="136"/>
      <c r="C88" s="76"/>
      <c r="D88" s="77"/>
      <c r="E88" s="78"/>
      <c r="F88" s="77"/>
      <c r="G88" s="79"/>
      <c r="H88" s="78"/>
      <c r="I88" s="79"/>
      <c r="J88" s="79"/>
      <c r="K88" s="84"/>
      <c r="L88" s="82"/>
      <c r="M88" s="93" t="str">
        <f>Groepsloting!$B$141</f>
        <v>Inleg per team</v>
      </c>
      <c r="N88" s="93"/>
      <c r="O88" s="94" t="s">
        <v>53</v>
      </c>
      <c r="W88" s="84"/>
      <c r="X88" s="82"/>
      <c r="Y88" s="82"/>
    </row>
    <row r="89" spans="1:25" ht="14.25" customHeight="1" thickBot="1">
      <c r="A89" s="116"/>
      <c r="B89" s="136"/>
      <c r="C89" s="76"/>
      <c r="D89" s="77"/>
      <c r="E89" s="78"/>
      <c r="F89" s="77"/>
      <c r="G89" s="79"/>
      <c r="H89" s="78"/>
      <c r="I89" s="79"/>
      <c r="J89" s="79"/>
      <c r="K89" s="84"/>
      <c r="L89" s="82"/>
      <c r="P89" s="130"/>
      <c r="Q89" s="130"/>
      <c r="R89" s="130"/>
      <c r="S89" s="130"/>
      <c r="T89" s="130"/>
      <c r="U89" s="130"/>
      <c r="V89" s="130"/>
      <c r="W89" s="84"/>
      <c r="X89" s="82"/>
      <c r="Y89" s="82"/>
    </row>
    <row r="90" spans="1:25" ht="14.25" customHeight="1">
      <c r="A90" s="116"/>
      <c r="B90" s="136"/>
      <c r="C90" s="76"/>
      <c r="D90" s="77"/>
      <c r="E90" s="78"/>
      <c r="F90" s="77"/>
      <c r="G90" s="79"/>
      <c r="H90" s="78"/>
      <c r="I90" s="79"/>
      <c r="J90" s="79"/>
      <c r="K90" s="84"/>
      <c r="L90" s="82"/>
      <c r="M90" s="99" t="str">
        <f>IF(AND(ISBLANK($N$10),ISBLANK($N$11),ISBLANK($N$12)),CONCATENATE(Groepsloting!$B$155,Groepsloting!$B$156,Groepsloting!$B$157),CONCATENATE(Groepsloting!$B$155,$N$10,Groepsloting!$B$157))</f>
        <v xml:space="preserve">Als alles is ingevuld, sla het bestand op met de bestandsnaam: Teamnaam.xlsx </v>
      </c>
      <c r="N90" s="100"/>
      <c r="O90" s="100"/>
      <c r="P90" s="100"/>
      <c r="Q90" s="113"/>
      <c r="R90" s="100"/>
      <c r="S90" s="100"/>
      <c r="T90" s="100"/>
      <c r="U90" s="61"/>
      <c r="V90" s="101"/>
      <c r="W90" s="84"/>
      <c r="X90" s="82"/>
      <c r="Y90" s="82"/>
    </row>
    <row r="91" spans="1:25" ht="14.25" customHeight="1">
      <c r="A91" s="116"/>
      <c r="B91" s="136"/>
      <c r="C91" s="76"/>
      <c r="D91" s="77"/>
      <c r="E91" s="78"/>
      <c r="F91" s="77"/>
      <c r="G91" s="79"/>
      <c r="H91" s="78"/>
      <c r="I91" s="79"/>
      <c r="J91" s="79"/>
      <c r="K91" s="84"/>
      <c r="L91" s="82"/>
      <c r="M91" s="114" t="str">
        <f>Groepsloting!B158</f>
        <v>en stuur deze dan naar:</v>
      </c>
      <c r="N91" s="111" t="s">
        <v>172</v>
      </c>
      <c r="O91" s="111"/>
      <c r="P91" s="111"/>
      <c r="Q91" s="111"/>
      <c r="R91" s="111"/>
      <c r="S91" s="111"/>
      <c r="T91" s="111"/>
      <c r="U91" s="111"/>
      <c r="V91" s="112"/>
      <c r="W91" s="84"/>
      <c r="X91" s="82"/>
      <c r="Y91" s="82"/>
    </row>
    <row r="92" spans="1:25" ht="14.25" customHeight="1" thickBot="1">
      <c r="A92" s="116"/>
      <c r="B92" s="136"/>
      <c r="C92" s="76"/>
      <c r="D92" s="77"/>
      <c r="E92" s="78"/>
      <c r="F92" s="77"/>
      <c r="G92" s="79"/>
      <c r="H92" s="78"/>
      <c r="I92" s="79"/>
      <c r="J92" s="79"/>
      <c r="K92" s="84"/>
      <c r="L92" s="82"/>
      <c r="M92" s="102" t="str">
        <f>Groepsloting!$B$159</f>
        <v>Lever het formulier en de inleg in vóór 14 juni 2024 18:00 uur bij Bas of Bastiaan, anders geen deelname.</v>
      </c>
      <c r="N92" s="103"/>
      <c r="O92" s="103"/>
      <c r="P92" s="103"/>
      <c r="Q92" s="103"/>
      <c r="R92" s="103"/>
      <c r="S92" s="103"/>
      <c r="T92" s="103"/>
      <c r="U92" s="103"/>
      <c r="V92" s="104"/>
      <c r="W92" s="84"/>
      <c r="X92" s="82"/>
      <c r="Y92" s="82"/>
    </row>
    <row r="93" spans="1:25" ht="14.25" customHeight="1">
      <c r="A93" s="116"/>
      <c r="B93" s="136"/>
      <c r="C93" s="76"/>
      <c r="D93" s="77"/>
      <c r="E93" s="78"/>
      <c r="F93" s="77"/>
      <c r="G93" s="79"/>
      <c r="H93" s="78"/>
      <c r="I93" s="79"/>
      <c r="J93" s="79"/>
      <c r="K93" s="84"/>
      <c r="L93" s="82"/>
      <c r="W93" s="84"/>
      <c r="X93" s="82"/>
      <c r="Y93" s="82"/>
    </row>
    <row r="94" spans="1:25">
      <c r="A94" s="137"/>
      <c r="B94" s="11"/>
      <c r="C94" s="11"/>
      <c r="D94" s="11"/>
      <c r="E94" s="11"/>
      <c r="F94" s="11"/>
      <c r="G94" s="11"/>
      <c r="H94" s="11"/>
      <c r="I94" s="11"/>
      <c r="J94" s="11"/>
      <c r="K94" s="106"/>
      <c r="L94" s="11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79" t="s">
        <v>525</v>
      </c>
      <c r="X94" s="82"/>
      <c r="Y94" s="82"/>
    </row>
    <row r="95" spans="1:25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82"/>
      <c r="Y95" s="82"/>
    </row>
    <row r="96" spans="1:25" hidden="1">
      <c r="M96" s="26"/>
      <c r="N96" s="26"/>
      <c r="O96" s="26"/>
      <c r="P96" s="26"/>
      <c r="Q96" s="26"/>
      <c r="R96" s="26"/>
      <c r="S96" s="26"/>
      <c r="T96" s="26"/>
      <c r="U96" s="26"/>
      <c r="V96" s="26"/>
    </row>
    <row r="97" spans="13:22" hidden="1">
      <c r="M97" s="26"/>
      <c r="N97" s="26"/>
      <c r="O97" s="26"/>
      <c r="P97" s="26"/>
      <c r="Q97" s="26"/>
      <c r="R97" s="26"/>
      <c r="S97" s="26"/>
      <c r="T97" s="26"/>
      <c r="U97" s="26"/>
      <c r="V97" s="26"/>
    </row>
    <row r="98" spans="13:22" hidden="1">
      <c r="M98" s="26"/>
      <c r="N98" s="26"/>
      <c r="O98" s="26"/>
      <c r="P98" s="26"/>
      <c r="Q98" s="26"/>
      <c r="R98" s="26"/>
      <c r="S98" s="26"/>
      <c r="T98" s="26"/>
      <c r="U98" s="26"/>
      <c r="V98" s="26"/>
    </row>
    <row r="99" spans="13:22" hidden="1">
      <c r="M99" s="26"/>
      <c r="N99" s="26"/>
      <c r="O99" s="26"/>
      <c r="P99" s="26"/>
      <c r="Q99" s="26"/>
      <c r="R99" s="26"/>
      <c r="S99" s="26"/>
      <c r="T99" s="26"/>
      <c r="U99" s="26"/>
      <c r="V99" s="26"/>
    </row>
    <row r="100" spans="13:22" hidden="1">
      <c r="M100" s="26"/>
      <c r="N100" s="26"/>
      <c r="O100" s="26"/>
      <c r="P100" s="26"/>
      <c r="Q100" s="26"/>
      <c r="R100" s="26"/>
      <c r="S100" s="26"/>
      <c r="T100" s="26"/>
      <c r="U100" s="26"/>
      <c r="V100" s="26"/>
    </row>
    <row r="101" spans="13:22" hidden="1">
      <c r="M101" s="26"/>
      <c r="N101" s="26"/>
      <c r="O101" s="26"/>
      <c r="P101" s="26"/>
      <c r="Q101" s="69"/>
      <c r="R101" s="26"/>
      <c r="S101" s="26"/>
      <c r="T101" s="26"/>
      <c r="U101" s="26"/>
      <c r="V101" s="26"/>
    </row>
    <row r="102" spans="13:22" hidden="1">
      <c r="M102" s="105"/>
      <c r="N102" s="105"/>
      <c r="O102" s="105"/>
      <c r="P102" s="105"/>
      <c r="Q102" s="105"/>
      <c r="R102" s="105"/>
      <c r="S102" s="105"/>
      <c r="T102" s="105"/>
      <c r="U102" s="105"/>
      <c r="V102" s="105"/>
    </row>
    <row r="103" spans="13:22" hidden="1">
      <c r="M103" s="26"/>
      <c r="N103" s="26"/>
      <c r="O103" s="26"/>
      <c r="P103" s="26"/>
      <c r="Q103" s="26"/>
      <c r="R103" s="26"/>
      <c r="S103" s="26"/>
      <c r="T103" s="26"/>
      <c r="U103" s="26"/>
      <c r="V103" s="26"/>
    </row>
    <row r="108" spans="13:22" ht="12" customHeight="1"/>
  </sheetData>
  <sheetProtection algorithmName="SHA-512" hashValue="FrH52dNoezC0ulCSLgMteIpFp/2Mo/3UOhgXuF/QKCWYJuhpmM034X6synzESr+kqgEjLOVdBOOz23AgDjAsDw==" saltValue="CVXQfTV7ooKMTPaFMFHcSg==" spinCount="100000" sheet="1" selectLockedCells="1"/>
  <protectedRanges>
    <protectedRange sqref="M102:V102 L3:L78 B94:L94 K79:L93 W3:W94" name="Bereik1"/>
    <protectedRange sqref="B79:J93" name="Bereik1_1"/>
    <protectedRange sqref="O4:O19 M101:V101 M3:N19 P3:V19 N90 N92:Q92 Q91 O90:P91 N44:V71 N72:O74 M76:O86 P72:V86 M88:O88 R89:V92 M34 P89:Q89 M90:M92 M44:M74" name="Bereik1_1_1"/>
    <protectedRange sqref="N22:V22 N30:V30 N32:V32 N34:V34 N24:V24 N26:V26 N28:V28" name="Bereik1_1_1_1"/>
    <protectedRange sqref="M21:M33" name="Bereik1_1_1_2"/>
    <protectedRange sqref="K3:K78" name="Bereik1_3"/>
    <protectedRange sqref="B50:C78 D50:F59 E61:E66 D62:D66 F62:F66 F73:F78 E68:E78 D73:D78 D68:D71 F69:F71 G50:J78 B3:J49" name="Bereik1_1_10"/>
    <protectedRange sqref="M35:V43" name="Bereik1_2"/>
  </protectedRanges>
  <sortState xmlns:xlrd2="http://schemas.microsoft.com/office/spreadsheetml/2017/richdata2" ref="BG3:BG26">
    <sortCondition ref="BG26"/>
  </sortState>
  <dataConsolidate/>
  <mergeCells count="33">
    <mergeCell ref="N22:V22"/>
    <mergeCell ref="B1:E1"/>
    <mergeCell ref="M8:V8"/>
    <mergeCell ref="M19:V19"/>
    <mergeCell ref="N10:V10"/>
    <mergeCell ref="M18:V18"/>
    <mergeCell ref="N16:V16"/>
    <mergeCell ref="N17:V17"/>
    <mergeCell ref="M9:V9"/>
    <mergeCell ref="M1:V1"/>
    <mergeCell ref="N11:V11"/>
    <mergeCell ref="N12:V12"/>
    <mergeCell ref="N13:V13"/>
    <mergeCell ref="N14:V14"/>
    <mergeCell ref="N15:V15"/>
    <mergeCell ref="N24:V24"/>
    <mergeCell ref="N26:V26"/>
    <mergeCell ref="N28:V28"/>
    <mergeCell ref="N30:V30"/>
    <mergeCell ref="N32:V32"/>
    <mergeCell ref="N42:V42"/>
    <mergeCell ref="N34:V34"/>
    <mergeCell ref="M44:V44"/>
    <mergeCell ref="B78:E78"/>
    <mergeCell ref="F78:J78"/>
    <mergeCell ref="M76:V76"/>
    <mergeCell ref="M35:V35"/>
    <mergeCell ref="N36:V36"/>
    <mergeCell ref="M37:V37"/>
    <mergeCell ref="N38:V38"/>
    <mergeCell ref="M39:V39"/>
    <mergeCell ref="N40:V40"/>
    <mergeCell ref="M41:V41"/>
  </mergeCells>
  <phoneticPr fontId="10" type="noConversion"/>
  <dataValidations count="15">
    <dataValidation type="list" allowBlank="1" showInputMessage="1" showErrorMessage="1" sqref="O3" xr:uid="{00000000-0002-0000-0000-000000000000}">
      <formula1>"Nederlands,English,Deutsch"</formula1>
    </dataValidation>
    <dataValidation type="list" allowBlank="1" showInputMessage="1" showErrorMessage="1" sqref="N22:V22 N24:V24 N26:V26 N28:V28 D63:D66 F63:F66 D70:D71 F70:F71 D75 F75 F78:J78" xr:uid="{00000000-0002-0000-0000-000001000000}">
      <formula1>$BG$3:$BG$26</formula1>
    </dataValidation>
    <dataValidation type="list" allowBlank="1" showInputMessage="1" showErrorMessage="1" sqref="I75 G4:G9 I4:I9 I12:I17 I28:I33 I20:I25 I36:I41 G12:G17 G20:G25 G28:G33 G36:G41 G44:G49 G52:G59 I52:I59 G63:G66 I63:I66 G70:G71 I70:I71 G75 I44:I49" xr:uid="{00000000-0002-0000-0000-000002000000}">
      <formula1>$BI$3:$BI$18</formula1>
    </dataValidation>
    <dataValidation type="list" allowBlank="1" showInputMessage="1" showErrorMessage="1" sqref="J4:J9 J12:J17 J20:J25 J28:J33 J36:J41 J44:J49 J52:J59 J63:J66 J70:J71 J75" xr:uid="{00000000-0002-0000-0000-000003000000}">
      <formula1>$BI$3:$BI$6</formula1>
    </dataValidation>
    <dataValidation type="list" allowBlank="1" showInputMessage="1" showErrorMessage="1" sqref="D52:D53" xr:uid="{00000000-0002-0000-0000-000004000000}">
      <formula1>$BF$4:$BF$7</formula1>
    </dataValidation>
    <dataValidation type="list" allowBlank="1" showInputMessage="1" showErrorMessage="1" sqref="D54 F53" xr:uid="{00000000-0002-0000-0000-000005000000}">
      <formula1>$BF$16:$BF$19</formula1>
    </dataValidation>
    <dataValidation type="list" allowBlank="1" showInputMessage="1" showErrorMessage="1" sqref="D55 F52" xr:uid="{00000000-0002-0000-0000-000006000000}">
      <formula1>$BF$10:$BF$13</formula1>
    </dataValidation>
    <dataValidation type="list" allowBlank="1" showInputMessage="1" showErrorMessage="1" sqref="D56 D58" xr:uid="{00000000-0002-0000-0000-000007000000}">
      <formula1>$BF$22:$BF$25</formula1>
    </dataValidation>
    <dataValidation type="list" allowBlank="1" showInputMessage="1" showErrorMessage="1" sqref="D57 F58" xr:uid="{00000000-0002-0000-0000-000008000000}">
      <formula1>$BF$34:$BF$37</formula1>
    </dataValidation>
    <dataValidation type="list" allowBlank="1" showInputMessage="1" showErrorMessage="1" sqref="D59 F56" xr:uid="{00000000-0002-0000-0000-000009000000}">
      <formula1>$BF$28:$BF$31</formula1>
    </dataValidation>
    <dataValidation type="list" allowBlank="1" showInputMessage="1" showErrorMessage="1" sqref="F54" xr:uid="{00000000-0002-0000-0000-00000A000000}">
      <formula1>$BH$32:$BH$43</formula1>
    </dataValidation>
    <dataValidation type="list" allowBlank="1" showInputMessage="1" showErrorMessage="1" sqref="F55" xr:uid="{00000000-0002-0000-0000-00000B000000}">
      <formula1>$BG$32:$BG$47</formula1>
    </dataValidation>
    <dataValidation type="list" allowBlank="1" showInputMessage="1" showErrorMessage="1" sqref="F57" xr:uid="{00000000-0002-0000-0000-00000C000000}">
      <formula1>$BH$50:$BH$61</formula1>
    </dataValidation>
    <dataValidation type="list" allowBlank="1" showInputMessage="1" showErrorMessage="1" sqref="F59" xr:uid="{00000000-0002-0000-0000-00000D000000}">
      <formula1>$BG$50:$BG$65</formula1>
    </dataValidation>
    <dataValidation type="list" errorStyle="warning" allowBlank="1" showInputMessage="1" showErrorMessage="1" errorTitle="Let op" error="Deze naam staat niet in de selectielijst" sqref="N42:V42 N38:V38 N36:V36" xr:uid="{E6540213-3392-4330-9A7F-8E7543AC101D}">
      <formula1>$BI$32:$BI$57</formula1>
    </dataValidation>
  </dataValidations>
  <printOptions verticalCentered="1"/>
  <pageMargins left="0.43307086614173229" right="0.23622047244094491" top="0.51181102362204722" bottom="0.74803149606299213" header="0.51181102362204722" footer="0.51181102362204722"/>
  <pageSetup paperSize="9" scale="50" orientation="portrait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>
    <pageSetUpPr fitToPage="1"/>
  </sheetPr>
  <dimension ref="A1:T268"/>
  <sheetViews>
    <sheetView showGridLines="0" showRowColHeaders="0" zoomScaleNormal="100" zoomScaleSheetLayoutView="100" workbookViewId="0"/>
  </sheetViews>
  <sheetFormatPr defaultColWidth="0" defaultRowHeight="12.75" zeroHeight="1"/>
  <cols>
    <col min="1" max="1" width="2" style="4" bestFit="1" customWidth="1"/>
    <col min="2" max="2" width="21.28515625" style="4" bestFit="1" customWidth="1"/>
    <col min="3" max="3" width="2" style="4" customWidth="1"/>
    <col min="4" max="4" width="21.28515625" style="4" hidden="1" customWidth="1"/>
    <col min="5" max="5" width="2" style="4" hidden="1" customWidth="1"/>
    <col min="6" max="6" width="19.7109375" style="4" hidden="1" customWidth="1"/>
    <col min="7" max="7" width="2" style="4" hidden="1" customWidth="1"/>
    <col min="8" max="8" width="21" style="4" hidden="1" customWidth="1"/>
    <col min="9" max="19" width="3.5703125" hidden="1" customWidth="1"/>
    <col min="20" max="20" width="1.5703125" customWidth="1"/>
    <col min="21" max="16384" width="3.5703125" hidden="1"/>
  </cols>
  <sheetData>
    <row r="1" spans="1:20">
      <c r="A1" s="63"/>
      <c r="B1" s="63" t="str">
        <f>IF(Groepsloting!$C$200=1,Groepsloting!D1,IF(Groepsloting!$C$200=2,IF(ISBLANK(Groepsloting!F1),Groepsloting!D1,Groepsloting!F1),IF(Groepsloting!$C$200=3,IF(ISBLANK(Groepsloting!H1),Groepsloting!D1,Groepsloting!H1),Groepsloting!D1)))</f>
        <v>Groep A</v>
      </c>
      <c r="D1" s="64" t="s">
        <v>1</v>
      </c>
      <c r="F1" s="64" t="s">
        <v>112</v>
      </c>
      <c r="H1" s="64" t="s">
        <v>120</v>
      </c>
    </row>
    <row r="2" spans="1:20">
      <c r="A2" s="5">
        <v>1</v>
      </c>
      <c r="B2" s="6" t="str">
        <f>IF(Groepsloting!$C$200=1,Groepsloting!D2,IF(Groepsloting!$C$200=2,IF(ISBLANK(Groepsloting!F2),Groepsloting!D2,Groepsloting!F2),IF(Groepsloting!$C$200=3,IF(ISBLANK(Groepsloting!H2),Groepsloting!D2,Groepsloting!H2),Groepsloting!D2)))</f>
        <v>Duitsland</v>
      </c>
      <c r="D2" s="65" t="s">
        <v>34</v>
      </c>
      <c r="F2" s="65" t="s">
        <v>184</v>
      </c>
      <c r="H2" s="65" t="s">
        <v>126</v>
      </c>
      <c r="L2" s="65"/>
      <c r="M2" s="4"/>
      <c r="N2" s="65"/>
      <c r="O2" s="4"/>
      <c r="P2" s="65"/>
      <c r="Q2" s="4"/>
      <c r="R2" s="65"/>
      <c r="S2" s="4"/>
      <c r="T2" s="65"/>
    </row>
    <row r="3" spans="1:20">
      <c r="A3" s="5">
        <v>2</v>
      </c>
      <c r="B3" s="6" t="str">
        <f>IF(Groepsloting!$C$200=1,Groepsloting!D3,IF(Groepsloting!$C$200=2,IF(ISBLANK(Groepsloting!F3),Groepsloting!D3,Groepsloting!F3),IF(Groepsloting!$C$200=3,IF(ISBLANK(Groepsloting!H3),Groepsloting!D3,Groepsloting!H3),Groepsloting!D3)))</f>
        <v>Schotland</v>
      </c>
      <c r="D3" s="65" t="s">
        <v>388</v>
      </c>
      <c r="F3" s="65" t="s">
        <v>389</v>
      </c>
      <c r="H3" s="65" t="s">
        <v>390</v>
      </c>
      <c r="L3" s="65"/>
      <c r="M3" s="4"/>
      <c r="N3" s="65"/>
      <c r="O3" s="4"/>
      <c r="P3" s="65"/>
      <c r="Q3" s="4"/>
      <c r="R3" s="65"/>
      <c r="S3" s="4"/>
      <c r="T3" s="65"/>
    </row>
    <row r="4" spans="1:20">
      <c r="A4" s="5">
        <v>3</v>
      </c>
      <c r="B4" s="6" t="str">
        <f>IF(Groepsloting!$C$200=1,Groepsloting!D4,IF(Groepsloting!$C$200=2,IF(ISBLANK(Groepsloting!F4),Groepsloting!D4,Groepsloting!F4),IF(Groepsloting!$C$200=3,IF(ISBLANK(Groepsloting!H4),Groepsloting!D4,Groepsloting!H4),Groepsloting!D4)))</f>
        <v>Hongarije</v>
      </c>
      <c r="D4" s="65" t="s">
        <v>395</v>
      </c>
      <c r="F4" s="65" t="s">
        <v>396</v>
      </c>
      <c r="H4" s="65" t="s">
        <v>397</v>
      </c>
      <c r="L4" s="65"/>
      <c r="M4" s="4"/>
      <c r="N4" s="65"/>
      <c r="O4" s="4"/>
      <c r="P4" s="65"/>
      <c r="Q4" s="4"/>
      <c r="R4" s="65"/>
      <c r="S4" s="4"/>
      <c r="T4" s="65"/>
    </row>
    <row r="5" spans="1:20">
      <c r="A5" s="5">
        <v>4</v>
      </c>
      <c r="B5" s="62" t="str">
        <f>IF(Groepsloting!$C$200=1,Groepsloting!D5,IF(Groepsloting!$C$200=2,IF(ISBLANK(Groepsloting!F5),Groepsloting!D5,Groepsloting!F5),IF(Groepsloting!$C$200=3,IF(ISBLANK(Groepsloting!H5),Groepsloting!D5,Groepsloting!H5),Groepsloting!D5)))</f>
        <v>Zwitserland</v>
      </c>
      <c r="D5" s="65" t="s">
        <v>38</v>
      </c>
      <c r="F5" s="65" t="s">
        <v>109</v>
      </c>
      <c r="H5" s="65" t="s">
        <v>124</v>
      </c>
      <c r="L5" s="65"/>
      <c r="M5" s="4"/>
      <c r="N5" s="65"/>
      <c r="O5" s="4"/>
      <c r="P5" s="65"/>
      <c r="Q5" s="4"/>
      <c r="R5" s="66"/>
      <c r="S5" s="4"/>
      <c r="T5" s="66"/>
    </row>
    <row r="6" spans="1:20">
      <c r="B6" s="3"/>
      <c r="L6" s="4"/>
      <c r="M6" s="4"/>
      <c r="N6" s="4"/>
      <c r="O6" s="4"/>
      <c r="P6" s="4"/>
      <c r="Q6" s="4"/>
      <c r="R6" s="4"/>
      <c r="S6" s="4"/>
      <c r="T6" s="4"/>
    </row>
    <row r="7" spans="1:20">
      <c r="A7" s="63"/>
      <c r="B7" s="63" t="str">
        <f>IF(Groepsloting!$C$200=1,Groepsloting!D7,IF(Groepsloting!$C$200=2,IF(ISBLANK(Groepsloting!F7),Groepsloting!D7,Groepsloting!F7),IF(Groepsloting!$C$200=3,IF(ISBLANK(Groepsloting!H7),Groepsloting!D7,Groepsloting!H7),Groepsloting!D7)))</f>
        <v>Groep B</v>
      </c>
      <c r="D7" s="64" t="s">
        <v>6</v>
      </c>
      <c r="F7" s="64" t="s">
        <v>113</v>
      </c>
      <c r="H7" s="64" t="s">
        <v>128</v>
      </c>
      <c r="L7" s="64"/>
      <c r="M7" s="4"/>
      <c r="N7" s="64"/>
      <c r="O7" s="4"/>
      <c r="P7" s="64"/>
      <c r="Q7" s="4"/>
      <c r="R7" s="64"/>
      <c r="S7" s="4"/>
      <c r="T7" s="64"/>
    </row>
    <row r="8" spans="1:20">
      <c r="A8" s="5">
        <v>1</v>
      </c>
      <c r="B8" s="6" t="str">
        <f>IF(Groepsloting!$C$200=1,Groepsloting!D8,IF(Groepsloting!$C$200=2,IF(ISBLANK(Groepsloting!F8),Groepsloting!D8,Groepsloting!F8),IF(Groepsloting!$C$200=3,IF(ISBLANK(Groepsloting!H8),Groepsloting!D8,Groepsloting!H8),Groepsloting!D8)))</f>
        <v>Spanje</v>
      </c>
      <c r="D8" s="65" t="s">
        <v>39</v>
      </c>
      <c r="F8" s="65" t="s">
        <v>106</v>
      </c>
      <c r="H8" s="65" t="s">
        <v>122</v>
      </c>
      <c r="L8" s="65"/>
      <c r="M8" s="4"/>
      <c r="N8" s="65"/>
      <c r="O8" s="4"/>
      <c r="P8" s="65"/>
      <c r="Q8" s="4"/>
      <c r="R8" s="65"/>
      <c r="S8" s="4"/>
      <c r="T8" s="65"/>
    </row>
    <row r="9" spans="1:20">
      <c r="A9" s="5">
        <v>2</v>
      </c>
      <c r="B9" s="6" t="str">
        <f>IF(Groepsloting!$C$200=1,Groepsloting!D9,IF(Groepsloting!$C$200=2,IF(ISBLANK(Groepsloting!F9),Groepsloting!D9,Groepsloting!F9),IF(Groepsloting!$C$200=3,IF(ISBLANK(Groepsloting!H9),Groepsloting!D9,Groepsloting!H9),Groepsloting!D9)))</f>
        <v>Kroatië</v>
      </c>
      <c r="D9" s="65" t="s">
        <v>101</v>
      </c>
      <c r="F9" s="65" t="s">
        <v>105</v>
      </c>
      <c r="H9" s="65" t="s">
        <v>121</v>
      </c>
      <c r="L9" s="65"/>
      <c r="M9" s="4"/>
      <c r="N9" s="65"/>
      <c r="O9" s="4"/>
      <c r="P9" s="65"/>
      <c r="Q9" s="4"/>
      <c r="R9" s="65"/>
      <c r="S9" s="4"/>
      <c r="T9" s="65"/>
    </row>
    <row r="10" spans="1:20">
      <c r="A10" s="5">
        <v>3</v>
      </c>
      <c r="B10" s="6" t="str">
        <f>IF(Groepsloting!$C$200=1,Groepsloting!D10,IF(Groepsloting!$C$200=2,IF(ISBLANK(Groepsloting!F10),Groepsloting!D10,Groepsloting!F10),IF(Groepsloting!$C$200=3,IF(ISBLANK(Groepsloting!H10),Groepsloting!D10,Groepsloting!H10),Groepsloting!D10)))</f>
        <v>Italië</v>
      </c>
      <c r="D10" s="65" t="s">
        <v>380</v>
      </c>
      <c r="F10" s="65" t="s">
        <v>108</v>
      </c>
      <c r="H10" s="65" t="s">
        <v>123</v>
      </c>
      <c r="L10" s="65"/>
      <c r="M10" s="4"/>
      <c r="N10" s="65"/>
      <c r="O10" s="4"/>
      <c r="P10" s="65"/>
      <c r="Q10" s="4"/>
      <c r="R10" s="65"/>
      <c r="S10" s="4"/>
      <c r="T10" s="65"/>
    </row>
    <row r="11" spans="1:20">
      <c r="A11" s="5">
        <v>4</v>
      </c>
      <c r="B11" s="6" t="str">
        <f>IF(Groepsloting!$C$200=1,Groepsloting!D11,IF(Groepsloting!$C$200=2,IF(ISBLANK(Groepsloting!F11),Groepsloting!D11,Groepsloting!F11),IF(Groepsloting!$C$200=3,IF(ISBLANK(Groepsloting!H11),Groepsloting!D11,Groepsloting!H11),Groepsloting!D11)))</f>
        <v>Albanië</v>
      </c>
      <c r="D11" s="65" t="s">
        <v>485</v>
      </c>
      <c r="F11" s="65" t="s">
        <v>486</v>
      </c>
      <c r="H11" s="65" t="s">
        <v>487</v>
      </c>
      <c r="L11" s="65"/>
      <c r="M11" s="4"/>
      <c r="N11" s="65"/>
      <c r="O11" s="4"/>
      <c r="P11" s="65"/>
      <c r="Q11" s="4"/>
      <c r="R11" s="65"/>
      <c r="S11" s="4"/>
      <c r="T11" s="65"/>
    </row>
    <row r="12" spans="1:20">
      <c r="A12" s="3"/>
      <c r="B12" s="3"/>
      <c r="L12" s="4"/>
      <c r="M12" s="4"/>
      <c r="N12" s="4"/>
      <c r="O12" s="4"/>
      <c r="P12" s="4"/>
      <c r="Q12" s="4"/>
      <c r="R12" s="4"/>
      <c r="S12" s="4"/>
      <c r="T12" s="4"/>
    </row>
    <row r="13" spans="1:20">
      <c r="A13" s="63"/>
      <c r="B13" s="63" t="str">
        <f>IF(Groepsloting!$C$200=1,Groepsloting!D13,IF(Groepsloting!$C$200=2,IF(ISBLANK(Groepsloting!F13),Groepsloting!D13,Groepsloting!F13),IF(Groepsloting!$C$200=3,IF(ISBLANK(Groepsloting!H13),Groepsloting!D13,Groepsloting!H13),Groepsloting!D13)))</f>
        <v>Groep C</v>
      </c>
      <c r="D13" s="64" t="s">
        <v>7</v>
      </c>
      <c r="F13" s="64" t="s">
        <v>114</v>
      </c>
      <c r="H13" s="64" t="s">
        <v>129</v>
      </c>
      <c r="L13" s="64"/>
      <c r="M13" s="4"/>
      <c r="N13" s="64"/>
      <c r="O13" s="4"/>
      <c r="P13" s="64"/>
      <c r="Q13" s="4"/>
      <c r="R13" s="64"/>
      <c r="S13" s="4"/>
      <c r="T13" s="64"/>
    </row>
    <row r="14" spans="1:20">
      <c r="A14" s="5">
        <v>1</v>
      </c>
      <c r="B14" s="6" t="str">
        <f>IF(Groepsloting!$C$200=1,Groepsloting!D14,IF(Groepsloting!$C$200=2,IF(ISBLANK(Groepsloting!F14),Groepsloting!D14,Groepsloting!F14),IF(Groepsloting!$C$200=3,IF(ISBLANK(Groepsloting!H14),Groepsloting!D14,Groepsloting!H14),Groepsloting!D14)))</f>
        <v>Slovenië</v>
      </c>
      <c r="D14" s="65" t="s">
        <v>488</v>
      </c>
      <c r="F14" s="65" t="s">
        <v>489</v>
      </c>
      <c r="H14" s="65" t="s">
        <v>498</v>
      </c>
      <c r="L14" s="65"/>
      <c r="M14" s="4"/>
      <c r="N14" s="65"/>
      <c r="O14" s="4"/>
      <c r="P14" s="65"/>
      <c r="Q14" s="4"/>
      <c r="R14" s="65"/>
      <c r="S14" s="4"/>
      <c r="T14" s="65"/>
    </row>
    <row r="15" spans="1:20">
      <c r="A15" s="5">
        <v>2</v>
      </c>
      <c r="B15" s="6" t="str">
        <f>IF(Groepsloting!$C$200=1,Groepsloting!D15,IF(Groepsloting!$C$200=2,IF(ISBLANK(Groepsloting!F15),Groepsloting!D15,Groepsloting!F15),IF(Groepsloting!$C$200=3,IF(ISBLANK(Groepsloting!H15),Groepsloting!D15,Groepsloting!H15),Groepsloting!D15)))</f>
        <v>Denemarken</v>
      </c>
      <c r="D15" s="65" t="s">
        <v>180</v>
      </c>
      <c r="F15" s="65" t="s">
        <v>183</v>
      </c>
      <c r="H15" s="65" t="s">
        <v>186</v>
      </c>
      <c r="L15" s="65"/>
      <c r="M15" s="4"/>
      <c r="N15" s="65"/>
      <c r="O15" s="4"/>
      <c r="P15" s="65"/>
      <c r="Q15" s="4"/>
      <c r="R15" s="65"/>
      <c r="S15" s="4"/>
      <c r="T15" s="65"/>
    </row>
    <row r="16" spans="1:20">
      <c r="A16" s="5">
        <v>3</v>
      </c>
      <c r="B16" s="6" t="str">
        <f>IF(Groepsloting!$C$200=1,Groepsloting!D16,IF(Groepsloting!$C$200=2,IF(ISBLANK(Groepsloting!F16),Groepsloting!D16,Groepsloting!F16),IF(Groepsloting!$C$200=3,IF(ISBLANK(Groepsloting!H16),Groepsloting!D16,Groepsloting!H16),Groepsloting!D16)))</f>
        <v>Servië</v>
      </c>
      <c r="D16" s="65" t="s">
        <v>492</v>
      </c>
      <c r="F16" s="65" t="s">
        <v>490</v>
      </c>
      <c r="H16" s="65" t="s">
        <v>491</v>
      </c>
      <c r="L16" s="65"/>
      <c r="M16" s="4"/>
      <c r="N16" s="65"/>
      <c r="O16" s="4"/>
      <c r="P16" s="65"/>
      <c r="Q16" s="4"/>
      <c r="R16" s="65"/>
      <c r="S16" s="4"/>
      <c r="T16" s="65"/>
    </row>
    <row r="17" spans="1:20">
      <c r="A17" s="5">
        <v>4</v>
      </c>
      <c r="B17" s="6" t="str">
        <f>IF(Groepsloting!$C$200=1,Groepsloting!D17,IF(Groepsloting!$C$200=2,IF(ISBLANK(Groepsloting!F17),Groepsloting!D17,Groepsloting!F17),IF(Groepsloting!$C$200=3,IF(ISBLANK(Groepsloting!H17),Groepsloting!D17,Groepsloting!H17),Groepsloting!D17)))</f>
        <v>Engeland</v>
      </c>
      <c r="D17" s="65" t="s">
        <v>35</v>
      </c>
      <c r="F17" s="65" t="s">
        <v>35</v>
      </c>
      <c r="H17" s="65" t="s">
        <v>107</v>
      </c>
      <c r="L17" s="65"/>
      <c r="M17" s="4"/>
      <c r="N17" s="65"/>
      <c r="O17" s="4"/>
      <c r="P17" s="65"/>
      <c r="Q17" s="4"/>
      <c r="R17" s="65"/>
      <c r="S17" s="4"/>
      <c r="T17" s="65"/>
    </row>
    <row r="18" spans="1:20">
      <c r="B18" s="3"/>
      <c r="L18" s="4"/>
      <c r="M18" s="4"/>
      <c r="N18" s="4"/>
      <c r="O18" s="4"/>
      <c r="P18" s="4"/>
      <c r="Q18" s="4"/>
      <c r="R18" s="4"/>
      <c r="S18" s="4"/>
      <c r="T18" s="4"/>
    </row>
    <row r="19" spans="1:20">
      <c r="A19" s="63"/>
      <c r="B19" s="63" t="str">
        <f>IF(Groepsloting!$C$200=1,Groepsloting!D19,IF(Groepsloting!$C$200=2,IF(ISBLANK(Groepsloting!F19),Groepsloting!D19,Groepsloting!F19),IF(Groepsloting!$C$200=3,IF(ISBLANK(Groepsloting!H19),Groepsloting!D19,Groepsloting!H19),Groepsloting!D19)))</f>
        <v>Groep D</v>
      </c>
      <c r="D19" s="64" t="s">
        <v>8</v>
      </c>
      <c r="F19" s="64" t="s">
        <v>115</v>
      </c>
      <c r="H19" s="64" t="s">
        <v>130</v>
      </c>
      <c r="L19" s="64"/>
      <c r="M19" s="4"/>
      <c r="N19" s="64"/>
      <c r="O19" s="4"/>
      <c r="P19" s="64"/>
      <c r="Q19" s="4"/>
      <c r="R19" s="64"/>
      <c r="S19" s="4"/>
      <c r="T19" s="64"/>
    </row>
    <row r="20" spans="1:20">
      <c r="A20" s="5">
        <v>1</v>
      </c>
      <c r="B20" s="6" t="str">
        <f>IF(Groepsloting!$C$200=1,Groepsloting!D20,IF(Groepsloting!$C$200=2,IF(ISBLANK(Groepsloting!F20),Groepsloting!D20,Groepsloting!F20),IF(Groepsloting!$C$200=3,IF(ISBLANK(Groepsloting!H20),Groepsloting!D20,Groepsloting!H20),Groepsloting!D20)))</f>
        <v>Polen</v>
      </c>
      <c r="D20" s="65" t="s">
        <v>181</v>
      </c>
      <c r="F20" s="65" t="s">
        <v>185</v>
      </c>
      <c r="H20" s="65" t="s">
        <v>181</v>
      </c>
      <c r="L20" s="65"/>
      <c r="M20" s="4"/>
      <c r="N20" s="65"/>
      <c r="O20" s="4"/>
      <c r="P20" s="65"/>
      <c r="Q20" s="4"/>
      <c r="R20" s="65"/>
      <c r="S20" s="4"/>
      <c r="T20" s="65"/>
    </row>
    <row r="21" spans="1:20">
      <c r="A21" s="5">
        <v>2</v>
      </c>
      <c r="B21" s="6" t="str">
        <f>IF(Groepsloting!$C$200=1,Groepsloting!D21,IF(Groepsloting!$C$200=2,IF(ISBLANK(Groepsloting!F21),Groepsloting!D21,Groepsloting!F21),IF(Groepsloting!$C$200=3,IF(ISBLANK(Groepsloting!H21),Groepsloting!D21,Groepsloting!H21),Groepsloting!D21)))</f>
        <v>Nederland</v>
      </c>
      <c r="D21" s="65" t="s">
        <v>384</v>
      </c>
      <c r="F21" s="65" t="s">
        <v>385</v>
      </c>
      <c r="H21" s="65" t="s">
        <v>386</v>
      </c>
      <c r="L21" s="65"/>
      <c r="M21" s="4"/>
      <c r="N21" s="65"/>
      <c r="O21" s="4"/>
      <c r="P21" s="65"/>
      <c r="Q21" s="4"/>
      <c r="R21" s="65"/>
      <c r="S21" s="4"/>
      <c r="T21" s="65"/>
    </row>
    <row r="22" spans="1:20">
      <c r="A22" s="5">
        <v>3</v>
      </c>
      <c r="B22" s="6" t="str">
        <f>IF(Groepsloting!$C$200=1,Groepsloting!D22,IF(Groepsloting!$C$200=2,IF(ISBLANK(Groepsloting!F22),Groepsloting!D22,Groepsloting!F22),IF(Groepsloting!$C$200=3,IF(ISBLANK(Groepsloting!H22),Groepsloting!D22,Groepsloting!H22),Groepsloting!D22)))</f>
        <v>Oostenrijk</v>
      </c>
      <c r="D22" s="65" t="s">
        <v>381</v>
      </c>
      <c r="F22" s="65" t="s">
        <v>382</v>
      </c>
      <c r="H22" s="65" t="s">
        <v>383</v>
      </c>
      <c r="I22" s="4"/>
      <c r="L22" s="65"/>
      <c r="M22" s="4"/>
      <c r="N22" s="65"/>
      <c r="O22" s="4"/>
      <c r="P22" s="65"/>
      <c r="Q22" s="4"/>
      <c r="R22" s="4"/>
      <c r="S22" s="4"/>
      <c r="T22" s="4"/>
    </row>
    <row r="23" spans="1:20">
      <c r="A23" s="5">
        <v>4</v>
      </c>
      <c r="B23" s="6" t="str">
        <f>IF(Groepsloting!$C$200=1,Groepsloting!D23,IF(Groepsloting!$C$200=2,IF(ISBLANK(Groepsloting!F23),Groepsloting!D23,Groepsloting!F23),IF(Groepsloting!$C$200=3,IF(ISBLANK(Groepsloting!H23),Groepsloting!D23,Groepsloting!H23),Groepsloting!D23)))</f>
        <v>Frankrijk</v>
      </c>
      <c r="D23" s="65" t="s">
        <v>37</v>
      </c>
      <c r="F23" s="65" t="s">
        <v>110</v>
      </c>
      <c r="H23" s="65" t="s">
        <v>125</v>
      </c>
      <c r="L23" s="65"/>
      <c r="M23" s="4"/>
      <c r="N23" s="65"/>
      <c r="O23" s="4"/>
      <c r="P23" s="65"/>
      <c r="Q23" s="4"/>
      <c r="R23" s="65"/>
      <c r="S23" s="4"/>
      <c r="T23" s="65"/>
    </row>
    <row r="24" spans="1:20">
      <c r="L24" s="4"/>
      <c r="M24" s="4"/>
      <c r="N24" s="4"/>
      <c r="O24" s="4"/>
      <c r="P24" s="4"/>
      <c r="Q24" s="4"/>
      <c r="R24" s="4"/>
      <c r="S24" s="4"/>
      <c r="T24" s="4"/>
    </row>
    <row r="25" spans="1:20">
      <c r="A25" s="63"/>
      <c r="B25" s="63" t="str">
        <f>IF(Groepsloting!$C$200=1,Groepsloting!D25,IF(Groepsloting!$C$200=2,IF(ISBLANK(Groepsloting!F25),Groepsloting!D25,Groepsloting!F25),IF(Groepsloting!$C$200=3,IF(ISBLANK(Groepsloting!H25),Groepsloting!D25,Groepsloting!H25),Groepsloting!D25)))</f>
        <v>Groep E</v>
      </c>
      <c r="D25" s="64" t="s">
        <v>9</v>
      </c>
      <c r="F25" s="64" t="s">
        <v>116</v>
      </c>
      <c r="H25" s="64" t="s">
        <v>131</v>
      </c>
      <c r="L25" s="64"/>
      <c r="M25" s="4"/>
      <c r="N25" s="64"/>
      <c r="O25" s="4"/>
      <c r="P25" s="64"/>
      <c r="Q25" s="4"/>
      <c r="R25" s="64"/>
      <c r="S25" s="4"/>
      <c r="T25" s="64"/>
    </row>
    <row r="26" spans="1:20">
      <c r="A26" s="5">
        <v>1</v>
      </c>
      <c r="B26" s="6" t="str">
        <f>IF(Groepsloting!$C$200=1,Groepsloting!D26,IF(Groepsloting!$C$200=2,IF(ISBLANK(Groepsloting!F26),Groepsloting!D26,Groepsloting!F26),IF(Groepsloting!$C$200=3,IF(ISBLANK(Groepsloting!H26),Groepsloting!D26,Groepsloting!H26),Groepsloting!D26)))</f>
        <v>België</v>
      </c>
      <c r="D26" s="65" t="s">
        <v>102</v>
      </c>
      <c r="F26" s="65" t="s">
        <v>111</v>
      </c>
      <c r="H26" s="65" t="s">
        <v>127</v>
      </c>
      <c r="L26" s="65"/>
      <c r="M26" s="4"/>
      <c r="N26" s="65"/>
      <c r="O26" s="4"/>
      <c r="P26" s="65"/>
      <c r="Q26" s="4"/>
      <c r="R26" s="65"/>
      <c r="S26" s="4"/>
      <c r="T26" s="65"/>
    </row>
    <row r="27" spans="1:20">
      <c r="A27" s="5">
        <v>2</v>
      </c>
      <c r="B27" s="6" t="str">
        <f>IF(Groepsloting!$C$200=1,Groepsloting!D27,IF(Groepsloting!$C$200=2,IF(ISBLANK(Groepsloting!F27),Groepsloting!D27,Groepsloting!F27),IF(Groepsloting!$C$200=3,IF(ISBLANK(Groepsloting!H27),Groepsloting!D27,Groepsloting!H27),Groepsloting!D27)))</f>
        <v>Slowakije</v>
      </c>
      <c r="D27" s="65" t="s">
        <v>421</v>
      </c>
      <c r="F27" s="65" t="s">
        <v>393</v>
      </c>
      <c r="H27" s="65" t="s">
        <v>394</v>
      </c>
      <c r="L27" s="65"/>
      <c r="M27" s="4"/>
      <c r="N27" s="65"/>
      <c r="O27" s="4"/>
      <c r="P27" s="65"/>
      <c r="Q27" s="4"/>
      <c r="R27" s="65"/>
      <c r="S27" s="4"/>
      <c r="T27" s="65"/>
    </row>
    <row r="28" spans="1:20">
      <c r="A28" s="5">
        <v>3</v>
      </c>
      <c r="B28" s="6" t="str">
        <f>IF(Groepsloting!$C$200=1,Groepsloting!D28,IF(Groepsloting!$C$200=2,IF(ISBLANK(Groepsloting!F28),Groepsloting!D28,Groepsloting!F28),IF(Groepsloting!$C$200=3,IF(ISBLANK(Groepsloting!H28),Groepsloting!D28,Groepsloting!H28),Groepsloting!D28)))</f>
        <v>Roemenië</v>
      </c>
      <c r="D28" s="65" t="s">
        <v>493</v>
      </c>
      <c r="F28" s="65" t="s">
        <v>494</v>
      </c>
      <c r="H28" s="65" t="s">
        <v>499</v>
      </c>
      <c r="L28" s="65"/>
      <c r="M28" s="4"/>
      <c r="N28" s="65"/>
      <c r="O28" s="4"/>
      <c r="P28" s="65"/>
      <c r="Q28" s="4"/>
      <c r="R28" s="65"/>
      <c r="S28" s="4"/>
      <c r="T28" s="65"/>
    </row>
    <row r="29" spans="1:20">
      <c r="A29" s="5">
        <v>4</v>
      </c>
      <c r="B29" s="6" t="str">
        <f>IF(Groepsloting!$C$200=1,Groepsloting!D29,IF(Groepsloting!$C$200=2,IF(ISBLANK(Groepsloting!F29),Groepsloting!D29,Groepsloting!F29),IF(Groepsloting!$C$200=3,IF(ISBLANK(Groepsloting!H29),Groepsloting!D29,Groepsloting!H29),Groepsloting!D29)))</f>
        <v>Oekraïne</v>
      </c>
      <c r="D29" s="65" t="s">
        <v>422</v>
      </c>
      <c r="F29" s="65" t="s">
        <v>387</v>
      </c>
      <c r="H29" s="65" t="s">
        <v>387</v>
      </c>
      <c r="L29" s="65"/>
      <c r="M29" s="4"/>
      <c r="N29" s="65"/>
      <c r="O29" s="4"/>
      <c r="P29" s="65"/>
      <c r="Q29" s="4"/>
      <c r="R29" s="65"/>
      <c r="S29" s="4"/>
      <c r="T29" s="65"/>
    </row>
    <row r="30" spans="1:20">
      <c r="B30" s="3"/>
      <c r="L30" s="4"/>
      <c r="M30" s="4"/>
      <c r="N30" s="4"/>
      <c r="O30" s="4"/>
      <c r="P30" s="4"/>
      <c r="Q30" s="4"/>
      <c r="R30" s="4"/>
      <c r="S30" s="4"/>
      <c r="T30" s="4"/>
    </row>
    <row r="31" spans="1:20">
      <c r="A31" s="63"/>
      <c r="B31" s="63" t="str">
        <f>IF(Groepsloting!$C$200=1,Groepsloting!D31,IF(Groepsloting!$C$200=2,IF(ISBLANK(Groepsloting!F31),Groepsloting!D31,Groepsloting!F31),IF(Groepsloting!$C$200=3,IF(ISBLANK(Groepsloting!H31),Groepsloting!D31,Groepsloting!H31),Groepsloting!D31)))</f>
        <v>Groep F</v>
      </c>
      <c r="D31" s="64" t="s">
        <v>10</v>
      </c>
      <c r="F31" s="64" t="s">
        <v>117</v>
      </c>
      <c r="H31" s="64" t="s">
        <v>132</v>
      </c>
      <c r="L31" s="64"/>
      <c r="M31" s="4"/>
      <c r="N31" s="64"/>
      <c r="O31" s="4"/>
      <c r="P31" s="64"/>
      <c r="Q31" s="4"/>
      <c r="R31" s="64"/>
      <c r="S31" s="4"/>
      <c r="T31" s="64"/>
    </row>
    <row r="32" spans="1:20">
      <c r="A32" s="5">
        <v>1</v>
      </c>
      <c r="B32" s="6" t="str">
        <f>IF(Groepsloting!$C$200=1,Groepsloting!D32,IF(Groepsloting!$C$200=2,IF(ISBLANK(Groepsloting!F32),Groepsloting!D32,Groepsloting!F32),IF(Groepsloting!$C$200=3,IF(ISBLANK(Groepsloting!H32),Groepsloting!D32,Groepsloting!H32),Groepsloting!D32)))</f>
        <v>Turkije</v>
      </c>
      <c r="D32" s="65" t="s">
        <v>377</v>
      </c>
      <c r="F32" s="65" t="s">
        <v>378</v>
      </c>
      <c r="H32" s="65" t="s">
        <v>379</v>
      </c>
      <c r="L32" s="65"/>
      <c r="M32" s="4"/>
      <c r="N32" s="65"/>
      <c r="O32" s="4"/>
      <c r="P32" s="65"/>
      <c r="Q32" s="4"/>
      <c r="R32" s="65"/>
      <c r="S32" s="4"/>
      <c r="T32" s="65"/>
    </row>
    <row r="33" spans="1:20">
      <c r="A33" s="5">
        <v>2</v>
      </c>
      <c r="B33" s="6" t="str">
        <f>IF(Groepsloting!$C$200=1,Groepsloting!D33,IF(Groepsloting!$C$200=2,IF(ISBLANK(Groepsloting!F33),Groepsloting!D33,Groepsloting!F33),IF(Groepsloting!$C$200=3,IF(ISBLANK(Groepsloting!H33),Groepsloting!D33,Groepsloting!H33),Groepsloting!D33)))</f>
        <v>Georgië</v>
      </c>
      <c r="D33" s="65" t="s">
        <v>495</v>
      </c>
      <c r="F33" s="65" t="s">
        <v>496</v>
      </c>
      <c r="H33" s="65" t="s">
        <v>497</v>
      </c>
      <c r="I33" s="4"/>
      <c r="L33" s="65"/>
      <c r="M33" s="4"/>
      <c r="N33" s="65"/>
      <c r="O33" s="4"/>
      <c r="P33" s="65"/>
      <c r="Q33" s="4"/>
      <c r="R33" s="65"/>
      <c r="S33" s="4"/>
      <c r="T33" s="65"/>
    </row>
    <row r="34" spans="1:20">
      <c r="A34" s="5">
        <v>3</v>
      </c>
      <c r="B34" s="6" t="str">
        <f>IF(Groepsloting!$C$200=1,Groepsloting!D34,IF(Groepsloting!$C$200=2,IF(ISBLANK(Groepsloting!F34),Groepsloting!D34,Groepsloting!F34),IF(Groepsloting!$C$200=3,IF(ISBLANK(Groepsloting!H34),Groepsloting!D34,Groepsloting!H34),Groepsloting!D34)))</f>
        <v>Portugal</v>
      </c>
      <c r="D34" s="65" t="s">
        <v>36</v>
      </c>
      <c r="F34" s="65" t="s">
        <v>36</v>
      </c>
      <c r="H34" s="65" t="s">
        <v>36</v>
      </c>
      <c r="L34" s="65"/>
      <c r="M34" s="4"/>
      <c r="N34" s="65"/>
      <c r="O34" s="4"/>
      <c r="P34" s="65"/>
      <c r="Q34" s="4"/>
      <c r="R34" s="65"/>
      <c r="S34" s="4"/>
      <c r="T34" s="65"/>
    </row>
    <row r="35" spans="1:20">
      <c r="A35" s="5">
        <v>4</v>
      </c>
      <c r="B35" s="6" t="str">
        <f>IF(Groepsloting!$C$200=1,Groepsloting!D35,IF(Groepsloting!$C$200=2,IF(ISBLANK(Groepsloting!F35),Groepsloting!D35,Groepsloting!F35),IF(Groepsloting!$C$200=3,IF(ISBLANK(Groepsloting!H35),Groepsloting!D35,Groepsloting!H35),Groepsloting!D35)))</f>
        <v>Tsjechië</v>
      </c>
      <c r="D35" s="65" t="s">
        <v>391</v>
      </c>
      <c r="F35" s="65" t="s">
        <v>392</v>
      </c>
      <c r="H35" s="65" t="s">
        <v>503</v>
      </c>
      <c r="L35" s="65"/>
      <c r="M35" s="4"/>
      <c r="N35" s="65"/>
      <c r="O35" s="4"/>
      <c r="P35" s="65"/>
      <c r="Q35" s="4"/>
      <c r="R35" s="65"/>
      <c r="S35" s="4"/>
      <c r="T35" s="65"/>
    </row>
    <row r="36" spans="1:20">
      <c r="A36" s="3"/>
      <c r="B36" s="3"/>
      <c r="P36" s="4"/>
      <c r="Q36" s="4"/>
      <c r="R36" s="4"/>
      <c r="S36" s="4"/>
      <c r="T36" s="4"/>
    </row>
    <row r="37" spans="1:20" hidden="1">
      <c r="A37" s="3"/>
      <c r="B37" s="3"/>
      <c r="P37" s="4"/>
      <c r="Q37" s="4"/>
      <c r="R37" s="4"/>
      <c r="S37" s="4"/>
      <c r="T37" s="4"/>
    </row>
    <row r="38" spans="1:20" ht="25.5" hidden="1">
      <c r="B38" s="50" t="str">
        <f>IF(Groepsloting!$C$200=1,Groepsloting!D38,IF(Groepsloting!$C$200=2,IF(ISBLANK(Groepsloting!F38),Groepsloting!D38,Groepsloting!F38),IF(Groepsloting!$C$200=3,IF(ISBLANK(Groepsloting!H38),Groepsloting!D38,Groepsloting!H38),Groepsloting!D38)))</f>
        <v>EK 2024 Voetbalpool</v>
      </c>
      <c r="C38" s="50"/>
      <c r="D38" s="50" t="s">
        <v>500</v>
      </c>
      <c r="E38" s="50"/>
      <c r="F38" s="50" t="s">
        <v>501</v>
      </c>
      <c r="G38" s="50"/>
      <c r="H38" s="50" t="s">
        <v>502</v>
      </c>
    </row>
    <row r="39" spans="1:20" hidden="1">
      <c r="B39" s="67" t="str">
        <f>IF(Groepsloting!$C$200=1,Groepsloting!D39,IF(Groepsloting!$C$200=2,IF(ISBLANK(Groepsloting!F39),Groepsloting!D39,Groepsloting!F39),IF(Groepsloting!$C$200=3,IF(ISBLANK(Groepsloting!H39),Groepsloting!D39,Groepsloting!H39),Groepsloting!D39)))</f>
        <v>Teamnaam:</v>
      </c>
      <c r="C39" s="67"/>
      <c r="D39" s="67" t="s">
        <v>45</v>
      </c>
      <c r="E39" s="67"/>
      <c r="F39" s="67"/>
      <c r="G39" s="67"/>
      <c r="H39" s="67"/>
    </row>
    <row r="40" spans="1:20" hidden="1">
      <c r="A40"/>
      <c r="B40" s="67" t="str">
        <f>IF(Groepsloting!$C$200=1,Groepsloting!D40,IF(Groepsloting!$C$200=2,IF(ISBLANK(Groepsloting!F40),Groepsloting!D40,Groepsloting!F40),IF(Groepsloting!$C$200=3,IF(ISBLANK(Groepsloting!H40),Groepsloting!D40,Groepsloting!H40),Groepsloting!D40)))</f>
        <v>Groep A</v>
      </c>
      <c r="C40" s="67"/>
      <c r="D40" s="67" t="s">
        <v>1</v>
      </c>
      <c r="E40" s="67"/>
      <c r="F40" s="67" t="s">
        <v>112</v>
      </c>
      <c r="G40" s="67"/>
      <c r="H40" s="67" t="s">
        <v>120</v>
      </c>
    </row>
    <row r="41" spans="1:20" hidden="1">
      <c r="A41"/>
      <c r="B41" s="67" t="str">
        <f>IF(Groepsloting!$C$200=1,Groepsloting!D41,IF(Groepsloting!$C$200=2,IF(ISBLANK(Groepsloting!F41),Groepsloting!D41,Groepsloting!F41),IF(Groepsloting!$C$200=3,IF(ISBLANK(Groepsloting!H41),Groepsloting!D41,Groepsloting!H41),Groepsloting!D41)))</f>
        <v>1e poule A</v>
      </c>
      <c r="C41" s="67"/>
      <c r="D41" s="67" t="str">
        <f>"1e poule "&amp;RIGHT(D40,1)</f>
        <v>1e poule A</v>
      </c>
      <c r="E41" s="67"/>
      <c r="F41" s="67" t="str">
        <f>"1st Group "&amp;RIGHT(F40,1)</f>
        <v>1st Group A</v>
      </c>
      <c r="G41" s="67"/>
      <c r="H41" s="67" t="str">
        <f>"1. Gruppe "&amp;RIGHT(H40,1)</f>
        <v>1. Gruppe A</v>
      </c>
    </row>
    <row r="42" spans="1:20" hidden="1">
      <c r="A42"/>
      <c r="B42" s="67" t="str">
        <f>IF(Groepsloting!$C$200=1,Groepsloting!D42,IF(Groepsloting!$C$200=2,IF(ISBLANK(Groepsloting!F42),Groepsloting!D42,Groepsloting!F42),IF(Groepsloting!$C$200=3,IF(ISBLANK(Groepsloting!H42),Groepsloting!D42,Groepsloting!H42),Groepsloting!D42)))</f>
        <v>2e poule A</v>
      </c>
      <c r="C42" s="67"/>
      <c r="D42" s="67" t="str">
        <f>"2e poule "&amp;RIGHT(D41,1)</f>
        <v>2e poule A</v>
      </c>
      <c r="E42" s="67"/>
      <c r="F42" s="67" t="str">
        <f>"2nd Group "&amp;RIGHT(F41,1)</f>
        <v>2nd Group A</v>
      </c>
      <c r="G42" s="67"/>
      <c r="H42" s="67" t="str">
        <f>"2. Gruppe "&amp;RIGHT(H41,1)</f>
        <v>2. Gruppe A</v>
      </c>
    </row>
    <row r="43" spans="1:20" hidden="1">
      <c r="A43"/>
      <c r="B43" s="67" t="str">
        <f>IF(Groepsloting!$C$200=1,Groepsloting!D43,IF(Groepsloting!$C$200=2,IF(ISBLANK(Groepsloting!F43),Groepsloting!D43,Groepsloting!F43),IF(Groepsloting!$C$200=3,IF(ISBLANK(Groepsloting!H43),Groepsloting!D43,Groepsloting!H43),Groepsloting!D43)))</f>
        <v>Groep B</v>
      </c>
      <c r="C43" s="67"/>
      <c r="D43" s="67" t="s">
        <v>6</v>
      </c>
      <c r="E43" s="67"/>
      <c r="F43" s="67" t="s">
        <v>113</v>
      </c>
      <c r="G43" s="67"/>
      <c r="H43" s="67" t="s">
        <v>128</v>
      </c>
    </row>
    <row r="44" spans="1:20" hidden="1">
      <c r="A44"/>
      <c r="B44" s="67" t="str">
        <f>IF(Groepsloting!$C$200=1,Groepsloting!D44,IF(Groepsloting!$C$200=2,IF(ISBLANK(Groepsloting!F44),Groepsloting!D44,Groepsloting!F44),IF(Groepsloting!$C$200=3,IF(ISBLANK(Groepsloting!H44),Groepsloting!D44,Groepsloting!H44),Groepsloting!D44)))</f>
        <v>1e poule B</v>
      </c>
      <c r="C44" s="67"/>
      <c r="D44" s="67" t="str">
        <f>"1e poule "&amp;RIGHT(D43,1)</f>
        <v>1e poule B</v>
      </c>
      <c r="E44" s="67"/>
      <c r="F44" s="67" t="str">
        <f>"1st Group "&amp;RIGHT(F43,1)</f>
        <v>1st Group B</v>
      </c>
      <c r="G44" s="67"/>
      <c r="H44" s="67" t="str">
        <f>"1. Gruppe "&amp;RIGHT(H43,1)</f>
        <v>1. Gruppe B</v>
      </c>
    </row>
    <row r="45" spans="1:20" hidden="1">
      <c r="A45"/>
      <c r="B45" s="67" t="str">
        <f>IF(Groepsloting!$C$200=1,Groepsloting!D45,IF(Groepsloting!$C$200=2,IF(ISBLANK(Groepsloting!F45),Groepsloting!D45,Groepsloting!F45),IF(Groepsloting!$C$200=3,IF(ISBLANK(Groepsloting!H45),Groepsloting!D45,Groepsloting!H45),Groepsloting!D45)))</f>
        <v>2e poule B</v>
      </c>
      <c r="C45" s="67"/>
      <c r="D45" s="67" t="str">
        <f>"2e poule "&amp;RIGHT(D44,1)</f>
        <v>2e poule B</v>
      </c>
      <c r="E45" s="67"/>
      <c r="F45" s="67" t="str">
        <f>"2nd Group "&amp;RIGHT(F44,1)</f>
        <v>2nd Group B</v>
      </c>
      <c r="G45" s="67"/>
      <c r="H45" s="67" t="str">
        <f>"2. Gruppe "&amp;RIGHT(H44,1)</f>
        <v>2. Gruppe B</v>
      </c>
    </row>
    <row r="46" spans="1:20" hidden="1">
      <c r="A46"/>
      <c r="B46" s="67" t="str">
        <f>IF(Groepsloting!$C$200=1,Groepsloting!D46,IF(Groepsloting!$C$200=2,IF(ISBLANK(Groepsloting!F46),Groepsloting!D46,Groepsloting!F46),IF(Groepsloting!$C$200=3,IF(ISBLANK(Groepsloting!H46),Groepsloting!D46,Groepsloting!H46),Groepsloting!D46)))</f>
        <v>Groep C</v>
      </c>
      <c r="C46" s="67"/>
      <c r="D46" s="67" t="s">
        <v>7</v>
      </c>
      <c r="E46" s="67"/>
      <c r="F46" s="67" t="s">
        <v>114</v>
      </c>
      <c r="G46" s="67"/>
      <c r="H46" s="67" t="s">
        <v>129</v>
      </c>
    </row>
    <row r="47" spans="1:20" hidden="1">
      <c r="A47"/>
      <c r="B47" s="67" t="str">
        <f>IF(Groepsloting!$C$200=1,Groepsloting!D47,IF(Groepsloting!$C$200=2,IF(ISBLANK(Groepsloting!F47),Groepsloting!D47,Groepsloting!F47),IF(Groepsloting!$C$200=3,IF(ISBLANK(Groepsloting!H47),Groepsloting!D47,Groepsloting!H47),Groepsloting!D47)))</f>
        <v>1e poule C</v>
      </c>
      <c r="C47" s="67"/>
      <c r="D47" s="67" t="str">
        <f>"1e poule "&amp;RIGHT(D46,1)</f>
        <v>1e poule C</v>
      </c>
      <c r="E47" s="67"/>
      <c r="F47" s="67" t="str">
        <f>"1st Group "&amp;RIGHT(F46,1)</f>
        <v>1st Group C</v>
      </c>
      <c r="G47" s="67"/>
      <c r="H47" s="67" t="str">
        <f>"1. Gruppe "&amp;RIGHT(H46,1)</f>
        <v>1. Gruppe C</v>
      </c>
    </row>
    <row r="48" spans="1:20" hidden="1">
      <c r="A48"/>
      <c r="B48" s="67" t="str">
        <f>IF(Groepsloting!$C$200=1,Groepsloting!D48,IF(Groepsloting!$C$200=2,IF(ISBLANK(Groepsloting!F48),Groepsloting!D48,Groepsloting!F48),IF(Groepsloting!$C$200=3,IF(ISBLANK(Groepsloting!H48),Groepsloting!D48,Groepsloting!H48),Groepsloting!D48)))</f>
        <v>2e poule C</v>
      </c>
      <c r="C48" s="67"/>
      <c r="D48" s="67" t="str">
        <f>"2e poule "&amp;RIGHT(D47,1)</f>
        <v>2e poule C</v>
      </c>
      <c r="E48" s="67"/>
      <c r="F48" s="67" t="str">
        <f>"2nd Group "&amp;RIGHT(F47,1)</f>
        <v>2nd Group C</v>
      </c>
      <c r="G48" s="67"/>
      <c r="H48" s="67" t="str">
        <f>"2. Gruppe "&amp;RIGHT(H47,1)</f>
        <v>2. Gruppe C</v>
      </c>
    </row>
    <row r="49" spans="1:8" hidden="1">
      <c r="A49"/>
      <c r="B49" s="67" t="str">
        <f>IF(Groepsloting!$C$200=1,Groepsloting!D49,IF(Groepsloting!$C$200=2,IF(ISBLANK(Groepsloting!F49),Groepsloting!D49,Groepsloting!F49),IF(Groepsloting!$C$200=3,IF(ISBLANK(Groepsloting!H49),Groepsloting!D49,Groepsloting!H49),Groepsloting!D49)))</f>
        <v>Groep D</v>
      </c>
      <c r="C49" s="67"/>
      <c r="D49" s="67" t="s">
        <v>8</v>
      </c>
      <c r="E49" s="67"/>
      <c r="F49" s="67" t="s">
        <v>115</v>
      </c>
      <c r="G49" s="67"/>
      <c r="H49" s="67" t="s">
        <v>130</v>
      </c>
    </row>
    <row r="50" spans="1:8" hidden="1">
      <c r="A50"/>
      <c r="B50" s="67" t="str">
        <f>IF(Groepsloting!$C$200=1,Groepsloting!D50,IF(Groepsloting!$C$200=2,IF(ISBLANK(Groepsloting!F50),Groepsloting!D50,Groepsloting!F50),IF(Groepsloting!$C$200=3,IF(ISBLANK(Groepsloting!H50),Groepsloting!D50,Groepsloting!H50),Groepsloting!D50)))</f>
        <v>1e poule D</v>
      </c>
      <c r="C50" s="67"/>
      <c r="D50" s="67" t="str">
        <f>"1e poule "&amp;RIGHT(D49,1)</f>
        <v>1e poule D</v>
      </c>
      <c r="E50" s="67"/>
      <c r="F50" s="67" t="str">
        <f>"1st Group "&amp;RIGHT(F49,1)</f>
        <v>1st Group D</v>
      </c>
      <c r="G50" s="67"/>
      <c r="H50" s="67" t="str">
        <f>"1. Gruppe "&amp;RIGHT(H49,1)</f>
        <v>1. Gruppe D</v>
      </c>
    </row>
    <row r="51" spans="1:8" hidden="1">
      <c r="A51"/>
      <c r="B51" s="67" t="str">
        <f>IF(Groepsloting!$C$200=1,Groepsloting!D51,IF(Groepsloting!$C$200=2,IF(ISBLANK(Groepsloting!F51),Groepsloting!D51,Groepsloting!F51),IF(Groepsloting!$C$200=3,IF(ISBLANK(Groepsloting!H51),Groepsloting!D51,Groepsloting!H51),Groepsloting!D51)))</f>
        <v>2e poule D</v>
      </c>
      <c r="C51" s="67"/>
      <c r="D51" s="67" t="str">
        <f>"2e poule "&amp;RIGHT(D50,1)</f>
        <v>2e poule D</v>
      </c>
      <c r="E51" s="67"/>
      <c r="F51" s="67" t="str">
        <f>"2nd Group "&amp;RIGHT(F50,1)</f>
        <v>2nd Group D</v>
      </c>
      <c r="G51" s="67"/>
      <c r="H51" s="67" t="str">
        <f>"2. Gruppe "&amp;RIGHT(H50,1)</f>
        <v>2. Gruppe D</v>
      </c>
    </row>
    <row r="52" spans="1:8" hidden="1">
      <c r="A52"/>
      <c r="B52" s="67" t="str">
        <f>IF(Groepsloting!$C$200=1,Groepsloting!D52,IF(Groepsloting!$C$200=2,IF(ISBLANK(Groepsloting!F52),Groepsloting!D52,Groepsloting!F52),IF(Groepsloting!$C$200=3,IF(ISBLANK(Groepsloting!H52),Groepsloting!D52,Groepsloting!H52),Groepsloting!D52)))</f>
        <v>Groep E</v>
      </c>
      <c r="C52" s="67"/>
      <c r="D52" s="67" t="s">
        <v>9</v>
      </c>
      <c r="E52" s="67"/>
      <c r="F52" s="67" t="s">
        <v>116</v>
      </c>
      <c r="G52" s="67"/>
      <c r="H52" s="67" t="s">
        <v>131</v>
      </c>
    </row>
    <row r="53" spans="1:8" hidden="1">
      <c r="A53"/>
      <c r="B53" s="67" t="str">
        <f>IF(Groepsloting!$C$200=1,Groepsloting!D53,IF(Groepsloting!$C$200=2,IF(ISBLANK(Groepsloting!F53),Groepsloting!D53,Groepsloting!F53),IF(Groepsloting!$C$200=3,IF(ISBLANK(Groepsloting!H53),Groepsloting!D53,Groepsloting!H53),Groepsloting!D53)))</f>
        <v>1e poule E</v>
      </c>
      <c r="C53" s="67"/>
      <c r="D53" s="67" t="str">
        <f>"1e poule "&amp;RIGHT(D52,1)</f>
        <v>1e poule E</v>
      </c>
      <c r="E53" s="67"/>
      <c r="F53" s="67" t="str">
        <f>"1st Group "&amp;RIGHT(F52,1)</f>
        <v>1st Group E</v>
      </c>
      <c r="G53" s="67"/>
      <c r="H53" s="67" t="str">
        <f>"1. Gruppe "&amp;RIGHT(H52,1)</f>
        <v>1. Gruppe E</v>
      </c>
    </row>
    <row r="54" spans="1:8" hidden="1">
      <c r="A54"/>
      <c r="B54" s="67" t="str">
        <f>IF(Groepsloting!$C$200=1,Groepsloting!D54,IF(Groepsloting!$C$200=2,IF(ISBLANK(Groepsloting!F54),Groepsloting!D54,Groepsloting!F54),IF(Groepsloting!$C$200=3,IF(ISBLANK(Groepsloting!H54),Groepsloting!D54,Groepsloting!H54),Groepsloting!D54)))</f>
        <v>2e poule E</v>
      </c>
      <c r="C54" s="67"/>
      <c r="D54" s="67" t="str">
        <f>"2e poule "&amp;RIGHT(D53,1)</f>
        <v>2e poule E</v>
      </c>
      <c r="E54" s="67"/>
      <c r="F54" s="67" t="str">
        <f>"2nd Group "&amp;RIGHT(F53,1)</f>
        <v>2nd Group E</v>
      </c>
      <c r="G54" s="67"/>
      <c r="H54" s="67" t="str">
        <f>"2. Gruppe "&amp;RIGHT(H53,1)</f>
        <v>2. Gruppe E</v>
      </c>
    </row>
    <row r="55" spans="1:8" hidden="1">
      <c r="A55"/>
      <c r="B55" s="67" t="str">
        <f>IF(Groepsloting!$C$200=1,Groepsloting!D55,IF(Groepsloting!$C$200=2,IF(ISBLANK(Groepsloting!F55),Groepsloting!D55,Groepsloting!F55),IF(Groepsloting!$C$200=3,IF(ISBLANK(Groepsloting!H55),Groepsloting!D55,Groepsloting!H55),Groepsloting!D55)))</f>
        <v>Groep F</v>
      </c>
      <c r="C55" s="67"/>
      <c r="D55" s="67" t="s">
        <v>10</v>
      </c>
      <c r="E55" s="67"/>
      <c r="F55" s="67" t="s">
        <v>117</v>
      </c>
      <c r="G55" s="67"/>
      <c r="H55" s="67" t="s">
        <v>132</v>
      </c>
    </row>
    <row r="56" spans="1:8" hidden="1">
      <c r="A56"/>
      <c r="B56" s="67" t="str">
        <f>IF(Groepsloting!$C$200=1,Groepsloting!D56,IF(Groepsloting!$C$200=2,IF(ISBLANK(Groepsloting!F56),Groepsloting!D56,Groepsloting!F56),IF(Groepsloting!$C$200=3,IF(ISBLANK(Groepsloting!H56),Groepsloting!D56,Groepsloting!H56),Groepsloting!D56)))</f>
        <v>1e poule F</v>
      </c>
      <c r="C56" s="67"/>
      <c r="D56" s="67" t="str">
        <f>"1e poule "&amp;RIGHT(D55,1)</f>
        <v>1e poule F</v>
      </c>
      <c r="E56" s="67"/>
      <c r="F56" s="67" t="str">
        <f>"1st Group "&amp;RIGHT(F55,1)</f>
        <v>1st Group F</v>
      </c>
      <c r="G56" s="67"/>
      <c r="H56" s="67" t="str">
        <f>"1. Gruppe "&amp;RIGHT(H55,1)</f>
        <v>1. Gruppe F</v>
      </c>
    </row>
    <row r="57" spans="1:8" hidden="1">
      <c r="A57"/>
      <c r="B57" s="67" t="str">
        <f>IF(Groepsloting!$C$200=1,Groepsloting!D57,IF(Groepsloting!$C$200=2,IF(ISBLANK(Groepsloting!F57),Groepsloting!D57,Groepsloting!F57),IF(Groepsloting!$C$200=3,IF(ISBLANK(Groepsloting!H57),Groepsloting!D57,Groepsloting!H57),Groepsloting!D57)))</f>
        <v>2e poule F</v>
      </c>
      <c r="C57" s="67"/>
      <c r="D57" s="67" t="str">
        <f>"2e poule "&amp;RIGHT(D56,1)</f>
        <v>2e poule F</v>
      </c>
      <c r="E57" s="67"/>
      <c r="F57" s="67" t="str">
        <f>"2nd Group "&amp;RIGHT(F56,1)</f>
        <v>2nd Group F</v>
      </c>
      <c r="G57" s="67"/>
      <c r="H57" s="67" t="str">
        <f>"2. Gruppe "&amp;RIGHT(H56,1)</f>
        <v>2. Gruppe F</v>
      </c>
    </row>
    <row r="58" spans="1:8" hidden="1">
      <c r="A58"/>
      <c r="B58" s="67" t="str">
        <f>IF(Groepsloting!$C$200=1,Groepsloting!D58,IF(Groepsloting!$C$200=2,IF(ISBLANK(Groepsloting!F58),Groepsloting!D58,Groepsloting!F58),IF(Groepsloting!$C$200=3,IF(ISBLANK(Groepsloting!H58),Groepsloting!D58,Groepsloting!H58),Groepsloting!D58)))</f>
        <v>Groep G</v>
      </c>
      <c r="C58" s="67"/>
      <c r="D58" s="67" t="s">
        <v>11</v>
      </c>
      <c r="E58" s="67"/>
      <c r="F58" s="67" t="s">
        <v>118</v>
      </c>
      <c r="G58" s="67"/>
      <c r="H58" s="67" t="s">
        <v>133</v>
      </c>
    </row>
    <row r="59" spans="1:8" hidden="1">
      <c r="A59"/>
      <c r="B59" s="67" t="str">
        <f>IF(Groepsloting!$C$200=1,Groepsloting!D59,IF(Groepsloting!$C$200=2,IF(ISBLANK(Groepsloting!F59),Groepsloting!D59,Groepsloting!F59),IF(Groepsloting!$C$200=3,IF(ISBLANK(Groepsloting!H59),Groepsloting!D59,Groepsloting!H59),Groepsloting!D59)))</f>
        <v>1e poule G</v>
      </c>
      <c r="C59" s="67"/>
      <c r="D59" s="67" t="str">
        <f>"1e poule "&amp;RIGHT(D58,1)</f>
        <v>1e poule G</v>
      </c>
      <c r="E59" s="67"/>
      <c r="F59" s="67" t="str">
        <f>"1st Group "&amp;RIGHT(F58,1)</f>
        <v>1st Group G</v>
      </c>
      <c r="G59" s="67"/>
      <c r="H59" s="67" t="str">
        <f>"1. Gruppe "&amp;RIGHT(H58,1)</f>
        <v>1. Gruppe G</v>
      </c>
    </row>
    <row r="60" spans="1:8" hidden="1">
      <c r="A60"/>
      <c r="B60" s="67" t="str">
        <f>IF(Groepsloting!$C$200=1,Groepsloting!D60,IF(Groepsloting!$C$200=2,IF(ISBLANK(Groepsloting!F60),Groepsloting!D60,Groepsloting!F60),IF(Groepsloting!$C$200=3,IF(ISBLANK(Groepsloting!H60),Groepsloting!D60,Groepsloting!H60),Groepsloting!D60)))</f>
        <v>2e poule G</v>
      </c>
      <c r="C60" s="67"/>
      <c r="D60" s="67" t="str">
        <f>"2e poule "&amp;RIGHT(D59,1)</f>
        <v>2e poule G</v>
      </c>
      <c r="E60" s="67"/>
      <c r="F60" s="67" t="str">
        <f>"2nd Group "&amp;RIGHT(F59,1)</f>
        <v>2nd Group G</v>
      </c>
      <c r="G60" s="67"/>
      <c r="H60" s="67" t="str">
        <f>"2. Gruppe "&amp;RIGHT(H59,1)</f>
        <v>2. Gruppe G</v>
      </c>
    </row>
    <row r="61" spans="1:8" hidden="1">
      <c r="A61"/>
      <c r="B61" s="67" t="str">
        <f>IF(Groepsloting!$C$200=1,Groepsloting!D61,IF(Groepsloting!$C$200=2,IF(ISBLANK(Groepsloting!F61),Groepsloting!D61,Groepsloting!F61),IF(Groepsloting!$C$200=3,IF(ISBLANK(Groepsloting!H61),Groepsloting!D61,Groepsloting!H61),Groepsloting!D61)))</f>
        <v>Groep H</v>
      </c>
      <c r="C61" s="67"/>
      <c r="D61" s="67" t="s">
        <v>12</v>
      </c>
      <c r="E61" s="67"/>
      <c r="F61" s="67" t="s">
        <v>119</v>
      </c>
      <c r="G61" s="67"/>
      <c r="H61" s="67" t="s">
        <v>134</v>
      </c>
    </row>
    <row r="62" spans="1:8" hidden="1">
      <c r="A62"/>
      <c r="B62" s="67" t="str">
        <f>IF(Groepsloting!$C$200=1,Groepsloting!D62,IF(Groepsloting!$C$200=2,IF(ISBLANK(Groepsloting!F62),Groepsloting!D62,Groepsloting!F62),IF(Groepsloting!$C$200=3,IF(ISBLANK(Groepsloting!H62),Groepsloting!D62,Groepsloting!H62),Groepsloting!D62)))</f>
        <v>1e poule H</v>
      </c>
      <c r="C62" s="67"/>
      <c r="D62" s="67" t="str">
        <f>"1e poule "&amp;RIGHT(D61,1)</f>
        <v>1e poule H</v>
      </c>
      <c r="E62" s="67"/>
      <c r="F62" s="67" t="str">
        <f>"1st Group "&amp;RIGHT(F61,1)</f>
        <v>1st Group H</v>
      </c>
      <c r="G62" s="67"/>
      <c r="H62" s="67" t="str">
        <f>"1. Gruppe "&amp;RIGHT(H61,1)</f>
        <v>1. Gruppe H</v>
      </c>
    </row>
    <row r="63" spans="1:8" hidden="1">
      <c r="A63"/>
      <c r="B63" s="67" t="str">
        <f>IF(Groepsloting!$C$200=1,Groepsloting!D63,IF(Groepsloting!$C$200=2,IF(ISBLANK(Groepsloting!F63),Groepsloting!D63,Groepsloting!F63),IF(Groepsloting!$C$200=3,IF(ISBLANK(Groepsloting!H63),Groepsloting!D63,Groepsloting!H63),Groepsloting!D63)))</f>
        <v>2e poule H</v>
      </c>
      <c r="C63" s="67"/>
      <c r="D63" s="67" t="str">
        <f>"2e poule "&amp;RIGHT(D62,1)</f>
        <v>2e poule H</v>
      </c>
      <c r="E63" s="67"/>
      <c r="F63" s="67" t="str">
        <f>"2nd Group "&amp;RIGHT(F62,1)</f>
        <v>2nd Group H</v>
      </c>
      <c r="G63" s="67"/>
      <c r="H63" s="67" t="str">
        <f>"2. Gruppe "&amp;RIGHT(H62,1)</f>
        <v>2. Gruppe H</v>
      </c>
    </row>
    <row r="64" spans="1:8" hidden="1">
      <c r="A64"/>
      <c r="B64" s="67" t="str">
        <f>IF(Groepsloting!$C$200=1,Groepsloting!D64,IF(Groepsloting!$C$200=2,IF(ISBLANK(Groepsloting!F64),Groepsloting!D64,Groepsloting!F64),IF(Groepsloting!$C$200=3,IF(ISBLANK(Groepsloting!H64),Groepsloting!D64,Groepsloting!H64),Groepsloting!D64)))</f>
        <v>Wedstrijd</v>
      </c>
      <c r="C64" s="67"/>
      <c r="D64" s="67" t="s">
        <v>2</v>
      </c>
      <c r="E64" s="67"/>
      <c r="F64" s="67" t="s">
        <v>135</v>
      </c>
      <c r="G64" s="67"/>
      <c r="H64" s="67" t="s">
        <v>138</v>
      </c>
    </row>
    <row r="65" spans="1:8" hidden="1">
      <c r="A65"/>
      <c r="B65" s="67" t="str">
        <f>IF(Groepsloting!$C$200=1,Groepsloting!D65,IF(Groepsloting!$C$200=2,IF(ISBLANK(Groepsloting!F65),Groepsloting!D65,Groepsloting!F65),IF(Groepsloting!$C$200=3,IF(ISBLANK(Groepsloting!H65),Groepsloting!D65,Groepsloting!H65),Groepsloting!D65)))</f>
        <v>Uitslag</v>
      </c>
      <c r="C65" s="67"/>
      <c r="D65" s="67" t="s">
        <v>3</v>
      </c>
      <c r="E65" s="67"/>
      <c r="F65" s="67" t="s">
        <v>136</v>
      </c>
      <c r="G65" s="67"/>
      <c r="H65" s="67" t="s">
        <v>137</v>
      </c>
    </row>
    <row r="66" spans="1:8" hidden="1">
      <c r="A66"/>
      <c r="B66" s="67" t="str">
        <f>IF(Groepsloting!$C$200=1,Groepsloting!D66,IF(Groepsloting!$C$200=2,IF(ISBLANK(Groepsloting!F66),Groepsloting!D66,Groepsloting!F66),IF(Groepsloting!$C$200=3,IF(ISBLANK(Groepsloting!H66),Groepsloting!D66,Groepsloting!H66),Groepsloting!D66)))</f>
        <v>Toto</v>
      </c>
      <c r="C66" s="67"/>
      <c r="D66" s="67" t="s">
        <v>4</v>
      </c>
      <c r="E66" s="67"/>
      <c r="F66" s="67" t="s">
        <v>4</v>
      </c>
      <c r="G66" s="67"/>
      <c r="H66" s="67" t="s">
        <v>4</v>
      </c>
    </row>
    <row r="67" spans="1:8" hidden="1">
      <c r="A67"/>
      <c r="B67" s="67" t="str">
        <f>IF(Groepsloting!$C$200=1,Groepsloting!D67,IF(Groepsloting!$C$200=2,IF(ISBLANK(Groepsloting!F67),Groepsloting!D67,Groepsloting!F67),IF(Groepsloting!$C$200=3,IF(ISBLANK(Groepsloting!H67),Groepsloting!D67,Groepsloting!H67),Groepsloting!D67)))</f>
        <v>Datum</v>
      </c>
      <c r="C67" s="67"/>
      <c r="D67" s="67" t="s">
        <v>182</v>
      </c>
      <c r="E67" s="67"/>
      <c r="F67" s="67" t="s">
        <v>193</v>
      </c>
      <c r="G67" s="67"/>
      <c r="H67" s="67" t="s">
        <v>182</v>
      </c>
    </row>
    <row r="68" spans="1:8" hidden="1">
      <c r="A68"/>
      <c r="B68" s="67" t="str">
        <f>IF(Groepsloting!$C$200=1,Groepsloting!D68,IF(Groepsloting!$C$200=2,IF(ISBLANK(Groepsloting!F68),Groepsloting!D68,Groepsloting!F68),IF(Groepsloting!$C$200=3,IF(ISBLANK(Groepsloting!H68),Groepsloting!D68,Groepsloting!H68),Groepsloting!D68)))</f>
        <v>Achtste finales</v>
      </c>
      <c r="C68" s="67"/>
      <c r="D68" s="67" t="s">
        <v>13</v>
      </c>
      <c r="E68" s="67"/>
      <c r="F68" s="67" t="s">
        <v>143</v>
      </c>
      <c r="G68" s="67"/>
      <c r="H68" s="67" t="s">
        <v>139</v>
      </c>
    </row>
    <row r="69" spans="1:8" hidden="1">
      <c r="A69"/>
      <c r="B69" s="67" t="str">
        <f>IF(Groepsloting!$C$200=1,Groepsloting!D69,IF(Groepsloting!$C$200=2,IF(ISBLANK(Groepsloting!F69),Groepsloting!D69,Groepsloting!F69),IF(Groepsloting!$C$200=3,IF(ISBLANK(Groepsloting!H69),Groepsloting!D69,Groepsloting!H69),Groepsloting!D69)))</f>
        <v>vul winnaar in AF1</v>
      </c>
      <c r="C69" s="67"/>
      <c r="D69" s="4" t="s">
        <v>196</v>
      </c>
      <c r="E69" s="67"/>
      <c r="F69" s="67" t="s">
        <v>218</v>
      </c>
      <c r="G69" s="67"/>
      <c r="H69" s="67" t="s">
        <v>234</v>
      </c>
    </row>
    <row r="70" spans="1:8" hidden="1">
      <c r="A70"/>
      <c r="B70" s="67" t="str">
        <f>IF(Groepsloting!$C$200=1,Groepsloting!D70,IF(Groepsloting!$C$200=2,IF(ISBLANK(Groepsloting!F70),Groepsloting!D70,Groepsloting!F70),IF(Groepsloting!$C$200=3,IF(ISBLANK(Groepsloting!H70),Groepsloting!D70,Groepsloting!H70),Groepsloting!D70)))</f>
        <v>vul winnaar in AF2</v>
      </c>
      <c r="C70" s="67"/>
      <c r="D70" s="4" t="s">
        <v>197</v>
      </c>
      <c r="E70" s="67"/>
      <c r="F70" s="67" t="s">
        <v>219</v>
      </c>
      <c r="G70" s="67"/>
      <c r="H70" s="67" t="s">
        <v>235</v>
      </c>
    </row>
    <row r="71" spans="1:8" hidden="1">
      <c r="A71"/>
      <c r="B71" s="67" t="str">
        <f>IF(Groepsloting!$C$200=1,Groepsloting!D71,IF(Groepsloting!$C$200=2,IF(ISBLANK(Groepsloting!F71),Groepsloting!D71,Groepsloting!F71),IF(Groepsloting!$C$200=3,IF(ISBLANK(Groepsloting!H71),Groepsloting!D71,Groepsloting!H71),Groepsloting!D71)))</f>
        <v>vul winnaar in AF3</v>
      </c>
      <c r="C71" s="67"/>
      <c r="D71" s="4" t="s">
        <v>198</v>
      </c>
      <c r="E71" s="67"/>
      <c r="F71" s="67" t="s">
        <v>220</v>
      </c>
      <c r="G71" s="67"/>
      <c r="H71" s="67" t="s">
        <v>236</v>
      </c>
    </row>
    <row r="72" spans="1:8" hidden="1">
      <c r="A72"/>
      <c r="B72" s="67" t="str">
        <f>IF(Groepsloting!$C$200=1,Groepsloting!D72,IF(Groepsloting!$C$200=2,IF(ISBLANK(Groepsloting!F72),Groepsloting!D72,Groepsloting!F72),IF(Groepsloting!$C$200=3,IF(ISBLANK(Groepsloting!H72),Groepsloting!D72,Groepsloting!H72),Groepsloting!D72)))</f>
        <v>vul winnaar in AF4</v>
      </c>
      <c r="C72" s="67"/>
      <c r="D72" s="4" t="s">
        <v>199</v>
      </c>
      <c r="E72" s="67"/>
      <c r="F72" s="67" t="s">
        <v>221</v>
      </c>
      <c r="G72" s="67"/>
      <c r="H72" s="67" t="s">
        <v>237</v>
      </c>
    </row>
    <row r="73" spans="1:8" hidden="1">
      <c r="A73"/>
      <c r="B73" s="67" t="str">
        <f>IF(Groepsloting!$C$200=1,Groepsloting!D73,IF(Groepsloting!$C$200=2,IF(ISBLANK(Groepsloting!F73),Groepsloting!D73,Groepsloting!F73),IF(Groepsloting!$C$200=3,IF(ISBLANK(Groepsloting!H73),Groepsloting!D73,Groepsloting!H73),Groepsloting!D73)))</f>
        <v>vul winnaar in AF5</v>
      </c>
      <c r="C73" s="67"/>
      <c r="D73" s="4" t="s">
        <v>200</v>
      </c>
      <c r="E73" s="67"/>
      <c r="F73" s="67" t="s">
        <v>222</v>
      </c>
      <c r="G73" s="67"/>
      <c r="H73" s="67" t="s">
        <v>238</v>
      </c>
    </row>
    <row r="74" spans="1:8" hidden="1">
      <c r="A74"/>
      <c r="B74" s="67" t="str">
        <f>IF(Groepsloting!$C$200=1,Groepsloting!D74,IF(Groepsloting!$C$200=2,IF(ISBLANK(Groepsloting!F74),Groepsloting!D74,Groepsloting!F74),IF(Groepsloting!$C$200=3,IF(ISBLANK(Groepsloting!H74),Groepsloting!D74,Groepsloting!H74),Groepsloting!D74)))</f>
        <v>vul winnaar in AF6</v>
      </c>
      <c r="C74" s="67"/>
      <c r="D74" s="4" t="s">
        <v>201</v>
      </c>
      <c r="E74" s="67"/>
      <c r="F74" s="67" t="s">
        <v>223</v>
      </c>
      <c r="G74" s="67"/>
      <c r="H74" s="67" t="s">
        <v>239</v>
      </c>
    </row>
    <row r="75" spans="1:8" hidden="1">
      <c r="A75"/>
      <c r="B75" s="67" t="str">
        <f>IF(Groepsloting!$C$200=1,Groepsloting!D75,IF(Groepsloting!$C$200=2,IF(ISBLANK(Groepsloting!F75),Groepsloting!D75,Groepsloting!F75),IF(Groepsloting!$C$200=3,IF(ISBLANK(Groepsloting!H75),Groepsloting!D75,Groepsloting!H75),Groepsloting!D75)))</f>
        <v>vul winnaar in AF7</v>
      </c>
      <c r="C75" s="67"/>
      <c r="D75" s="4" t="s">
        <v>202</v>
      </c>
      <c r="E75" s="67"/>
      <c r="F75" s="67" t="s">
        <v>224</v>
      </c>
      <c r="G75" s="67"/>
      <c r="H75" s="67" t="s">
        <v>240</v>
      </c>
    </row>
    <row r="76" spans="1:8" hidden="1">
      <c r="A76"/>
      <c r="B76" s="67" t="str">
        <f>IF(Groepsloting!$C$200=1,Groepsloting!D76,IF(Groepsloting!$C$200=2,IF(ISBLANK(Groepsloting!F76),Groepsloting!D76,Groepsloting!F76),IF(Groepsloting!$C$200=3,IF(ISBLANK(Groepsloting!H76),Groepsloting!D76,Groepsloting!H76),Groepsloting!D76)))</f>
        <v>vul winnaar in AF8</v>
      </c>
      <c r="C76" s="67"/>
      <c r="D76" s="4" t="s">
        <v>203</v>
      </c>
      <c r="E76" s="67"/>
      <c r="F76" s="67" t="s">
        <v>225</v>
      </c>
      <c r="G76" s="67"/>
      <c r="H76" s="67" t="s">
        <v>241</v>
      </c>
    </row>
    <row r="77" spans="1:8" hidden="1">
      <c r="A77"/>
      <c r="B77" s="67" t="str">
        <f>IF(Groepsloting!$C$200=1,Groepsloting!D77,IF(Groepsloting!$C$200=2,IF(ISBLANK(Groepsloting!F77),Groepsloting!D77,Groepsloting!F77),IF(Groepsloting!$C$200=3,IF(ISBLANK(Groepsloting!H77),Groepsloting!D77,Groepsloting!H77),Groepsloting!D77)))</f>
        <v>Kwartfinales</v>
      </c>
      <c r="C77" s="67"/>
      <c r="D77" s="67" t="s">
        <v>14</v>
      </c>
      <c r="E77" s="67"/>
      <c r="F77" s="67" t="s">
        <v>144</v>
      </c>
      <c r="G77" s="67"/>
      <c r="H77" s="67" t="s">
        <v>140</v>
      </c>
    </row>
    <row r="78" spans="1:8" hidden="1">
      <c r="A78"/>
      <c r="B78" s="67" t="str">
        <f>IF(Groepsloting!$C$200=1,Groepsloting!D78,IF(Groepsloting!$C$200=2,IF(ISBLANK(Groepsloting!F78),Groepsloting!D78,Groepsloting!F78),IF(Groepsloting!$C$200=3,IF(ISBLANK(Groepsloting!H78),Groepsloting!D78,Groepsloting!H78),Groepsloting!D78)))</f>
        <v>vul winnaar in KF1</v>
      </c>
      <c r="C78" s="67"/>
      <c r="D78" s="4" t="s">
        <v>204</v>
      </c>
      <c r="E78" s="67"/>
      <c r="F78" s="67" t="s">
        <v>226</v>
      </c>
      <c r="G78" s="67"/>
      <c r="H78" s="67" t="s">
        <v>242</v>
      </c>
    </row>
    <row r="79" spans="1:8" hidden="1">
      <c r="A79"/>
      <c r="B79" s="67" t="str">
        <f>IF(Groepsloting!$C$200=1,Groepsloting!D79,IF(Groepsloting!$C$200=2,IF(ISBLANK(Groepsloting!F79),Groepsloting!D79,Groepsloting!F79),IF(Groepsloting!$C$200=3,IF(ISBLANK(Groepsloting!H79),Groepsloting!D79,Groepsloting!H79),Groepsloting!D79)))</f>
        <v>vul winnaar in KF2</v>
      </c>
      <c r="C79" s="67"/>
      <c r="D79" s="4" t="s">
        <v>205</v>
      </c>
      <c r="E79" s="67"/>
      <c r="F79" s="67" t="s">
        <v>227</v>
      </c>
      <c r="G79" s="67"/>
      <c r="H79" s="67" t="s">
        <v>243</v>
      </c>
    </row>
    <row r="80" spans="1:8" hidden="1">
      <c r="A80"/>
      <c r="B80" s="67" t="str">
        <f>IF(Groepsloting!$C$200=1,Groepsloting!D80,IF(Groepsloting!$C$200=2,IF(ISBLANK(Groepsloting!F80),Groepsloting!D80,Groepsloting!F80),IF(Groepsloting!$C$200=3,IF(ISBLANK(Groepsloting!H80),Groepsloting!D80,Groepsloting!H80),Groepsloting!D80)))</f>
        <v>vul winnaar in KF3</v>
      </c>
      <c r="C80" s="67"/>
      <c r="D80" s="4" t="s">
        <v>206</v>
      </c>
      <c r="E80" s="67"/>
      <c r="F80" s="67" t="s">
        <v>228</v>
      </c>
      <c r="G80" s="67"/>
      <c r="H80" s="67" t="s">
        <v>244</v>
      </c>
    </row>
    <row r="81" spans="1:8" hidden="1">
      <c r="A81"/>
      <c r="B81" s="67" t="str">
        <f>IF(Groepsloting!$C$200=1,Groepsloting!D81,IF(Groepsloting!$C$200=2,IF(ISBLANK(Groepsloting!F81),Groepsloting!D81,Groepsloting!F81),IF(Groepsloting!$C$200=3,IF(ISBLANK(Groepsloting!H81),Groepsloting!D81,Groepsloting!H81),Groepsloting!D81)))</f>
        <v>vul winnaar in KF4</v>
      </c>
      <c r="C81" s="67"/>
      <c r="D81" s="4" t="s">
        <v>207</v>
      </c>
      <c r="E81" s="67"/>
      <c r="F81" s="67" t="s">
        <v>229</v>
      </c>
      <c r="G81" s="67"/>
      <c r="H81" s="67" t="s">
        <v>245</v>
      </c>
    </row>
    <row r="82" spans="1:8" hidden="1">
      <c r="A82"/>
      <c r="B82" s="67" t="str">
        <f>IF(Groepsloting!$C$200=1,Groepsloting!D82,IF(Groepsloting!$C$200=2,IF(ISBLANK(Groepsloting!F82),Groepsloting!D82,Groepsloting!F82),IF(Groepsloting!$C$200=3,IF(ISBLANK(Groepsloting!H82),Groepsloting!D82,Groepsloting!H82),Groepsloting!D82)))</f>
        <v>Halve finales</v>
      </c>
      <c r="C82" s="67"/>
      <c r="D82" s="67" t="s">
        <v>15</v>
      </c>
      <c r="E82" s="67"/>
      <c r="F82" s="67" t="s">
        <v>145</v>
      </c>
      <c r="G82" s="67"/>
      <c r="H82" s="67" t="s">
        <v>141</v>
      </c>
    </row>
    <row r="83" spans="1:8" hidden="1">
      <c r="A83"/>
      <c r="B83" s="67" t="str">
        <f>IF(Groepsloting!$C$200=1,Groepsloting!D83,IF(Groepsloting!$C$200=2,IF(ISBLANK(Groepsloting!F83),Groepsloting!D83,Groepsloting!F83),IF(Groepsloting!$C$200=3,IF(ISBLANK(Groepsloting!H83),Groepsloting!D83,Groepsloting!H83),Groepsloting!D83)))</f>
        <v>vul verliezer in HF1</v>
      </c>
      <c r="C83" s="67"/>
      <c r="D83" s="4" t="s">
        <v>210</v>
      </c>
      <c r="E83" s="67"/>
      <c r="F83" s="67" t="s">
        <v>230</v>
      </c>
      <c r="G83" s="67"/>
      <c r="H83" s="67" t="s">
        <v>246</v>
      </c>
    </row>
    <row r="84" spans="1:8" hidden="1">
      <c r="A84"/>
      <c r="B84" s="67" t="str">
        <f>IF(Groepsloting!$C$200=1,Groepsloting!D84,IF(Groepsloting!$C$200=2,IF(ISBLANK(Groepsloting!F84),Groepsloting!D84,Groepsloting!F84),IF(Groepsloting!$C$200=3,IF(ISBLANK(Groepsloting!H84),Groepsloting!D84,Groepsloting!H84),Groepsloting!D84)))</f>
        <v>vul verliezer in HF2</v>
      </c>
      <c r="C84" s="67"/>
      <c r="D84" s="4" t="s">
        <v>211</v>
      </c>
      <c r="E84" s="67"/>
      <c r="F84" s="67" t="s">
        <v>231</v>
      </c>
      <c r="G84" s="67"/>
      <c r="H84" s="67" t="s">
        <v>247</v>
      </c>
    </row>
    <row r="85" spans="1:8" hidden="1">
      <c r="A85"/>
      <c r="B85" s="67" t="str">
        <f>IF(Groepsloting!$C$200=1,Groepsloting!D85,IF(Groepsloting!$C$200=2,IF(ISBLANK(Groepsloting!F85),Groepsloting!D85,Groepsloting!F85),IF(Groepsloting!$C$200=3,IF(ISBLANK(Groepsloting!H85),Groepsloting!D85,Groepsloting!H85),Groepsloting!D85)))</f>
        <v>3e plaats</v>
      </c>
      <c r="C85" s="67"/>
      <c r="D85" s="67" t="s">
        <v>16</v>
      </c>
      <c r="E85" s="67"/>
      <c r="F85" s="67" t="s">
        <v>146</v>
      </c>
      <c r="G85" s="67"/>
      <c r="H85" s="67" t="s">
        <v>142</v>
      </c>
    </row>
    <row r="86" spans="1:8" hidden="1">
      <c r="A86"/>
      <c r="B86" s="67" t="str">
        <f>IF(Groepsloting!$C$200=1,Groepsloting!D86,IF(Groepsloting!$C$200=2,IF(ISBLANK(Groepsloting!F86),Groepsloting!D86,Groepsloting!F86),IF(Groepsloting!$C$200=3,IF(ISBLANK(Groepsloting!H86),Groepsloting!D86,Groepsloting!H86),Groepsloting!D86)))</f>
        <v>vul winnaar in HF1</v>
      </c>
      <c r="C86" s="67"/>
      <c r="D86" s="4" t="s">
        <v>208</v>
      </c>
      <c r="E86" s="67"/>
      <c r="F86" s="67" t="s">
        <v>232</v>
      </c>
      <c r="G86" s="67"/>
      <c r="H86" s="67" t="s">
        <v>248</v>
      </c>
    </row>
    <row r="87" spans="1:8" hidden="1">
      <c r="A87"/>
      <c r="B87" s="67" t="str">
        <f>IF(Groepsloting!$C$200=1,Groepsloting!D87,IF(Groepsloting!$C$200=2,IF(ISBLANK(Groepsloting!F87),Groepsloting!D87,Groepsloting!F87),IF(Groepsloting!$C$200=3,IF(ISBLANK(Groepsloting!H87),Groepsloting!D87,Groepsloting!H87),Groepsloting!D87)))</f>
        <v>vul winnaar in HF2</v>
      </c>
      <c r="C87" s="67"/>
      <c r="D87" s="4" t="s">
        <v>209</v>
      </c>
      <c r="E87" s="67"/>
      <c r="F87" s="67" t="s">
        <v>233</v>
      </c>
      <c r="G87" s="67"/>
      <c r="H87" s="67" t="s">
        <v>249</v>
      </c>
    </row>
    <row r="88" spans="1:8" hidden="1">
      <c r="A88"/>
      <c r="B88" s="67" t="str">
        <f>IF(Groepsloting!$C$200=1,Groepsloting!D88,IF(Groepsloting!$C$200=2,IF(ISBLANK(Groepsloting!F88),Groepsloting!D88,Groepsloting!F88),IF(Groepsloting!$C$200=3,IF(ISBLANK(Groepsloting!H88),Groepsloting!D88,Groepsloting!H88),Groepsloting!D88)))</f>
        <v>Winnaar van 3e plaats</v>
      </c>
      <c r="C88" s="67"/>
      <c r="D88" s="67" t="s">
        <v>254</v>
      </c>
      <c r="E88" s="67"/>
      <c r="F88" s="67" t="s">
        <v>252</v>
      </c>
      <c r="G88" s="67"/>
      <c r="H88" s="67" t="s">
        <v>253</v>
      </c>
    </row>
    <row r="89" spans="1:8" hidden="1">
      <c r="A89"/>
      <c r="B89" s="67" t="str">
        <f>IF(Groepsloting!$C$200=1,Groepsloting!D89,IF(Groepsloting!$C$200=2,IF(ISBLANK(Groepsloting!F89),Groepsloting!D89,Groepsloting!F89),IF(Groepsloting!$C$200=3,IF(ISBLANK(Groepsloting!H89),Groepsloting!D89,Groepsloting!H89),Groepsloting!D89)))</f>
        <v>Finale</v>
      </c>
      <c r="C89" s="67"/>
      <c r="D89" s="67" t="s">
        <v>17</v>
      </c>
      <c r="E89" s="67"/>
      <c r="F89" s="67" t="s">
        <v>147</v>
      </c>
      <c r="G89" s="67"/>
      <c r="H89" s="67" t="s">
        <v>17</v>
      </c>
    </row>
    <row r="90" spans="1:8" hidden="1">
      <c r="A90"/>
      <c r="B90" s="67" t="str">
        <f>IF(Groepsloting!$C$200=1,Groepsloting!D90,IF(Groepsloting!$C$200=2,IF(ISBLANK(Groepsloting!F90),Groepsloting!D90,Groepsloting!F90),IF(Groepsloting!$C$200=3,IF(ISBLANK(Groepsloting!H90),Groepsloting!D90,Groepsloting!H90),Groepsloting!D90)))</f>
        <v>Europees kampioen</v>
      </c>
      <c r="C90" s="67"/>
      <c r="D90" s="67" t="s">
        <v>398</v>
      </c>
      <c r="E90" s="67"/>
      <c r="F90" s="67" t="s">
        <v>399</v>
      </c>
      <c r="G90" s="67"/>
      <c r="H90" s="67" t="s">
        <v>436</v>
      </c>
    </row>
    <row r="91" spans="1:8" hidden="1">
      <c r="A91"/>
      <c r="B91" s="67" t="str">
        <f>IF(Groepsloting!$C$200=1,Groepsloting!D91,IF(Groepsloting!$C$200=2,IF(ISBLANK(Groepsloting!F91),Groepsloting!D91,Groepsloting!F91),IF(Groepsloting!$C$200=3,IF(ISBLANK(Groepsloting!H91),Groepsloting!D91,Groepsloting!H91),Groepsloting!D91)))</f>
        <v>Winnaar finale</v>
      </c>
      <c r="C91" s="67"/>
      <c r="D91" s="67" t="s">
        <v>255</v>
      </c>
      <c r="E91" s="67"/>
      <c r="F91" s="67" t="s">
        <v>256</v>
      </c>
      <c r="G91" s="67"/>
      <c r="H91" s="67" t="s">
        <v>257</v>
      </c>
    </row>
    <row r="92" spans="1:8" hidden="1">
      <c r="A92"/>
      <c r="B92" s="50" t="str">
        <f>IF(Groepsloting!$C$200=1,Groepsloting!D92,IF(Groepsloting!$C$200=2,IF(ISBLANK(Groepsloting!F92),Groepsloting!D92,Groepsloting!F92),IF(Groepsloting!$C$200=3,IF(ISBLANK(Groepsloting!H92),Groepsloting!D92,Groepsloting!H92),Groepsloting!D92)))</f>
        <v>Inschrijfformulier</v>
      </c>
      <c r="C92" s="50"/>
      <c r="D92" s="50" t="s">
        <v>400</v>
      </c>
      <c r="E92" s="50"/>
      <c r="F92" s="50" t="s">
        <v>401</v>
      </c>
      <c r="G92" s="50"/>
      <c r="H92" s="50" t="s">
        <v>402</v>
      </c>
    </row>
    <row r="93" spans="1:8" ht="38.25" hidden="1">
      <c r="A93"/>
      <c r="B93" s="67" t="str">
        <f>IF(Groepsloting!$C$200=1,Groepsloting!D93,IF(Groepsloting!$C$200=2,IF(ISBLANK(Groepsloting!F93),Groepsloting!D93,Groepsloting!F93),IF(Groepsloting!$C$200=3,IF(ISBLANK(Groepsloting!H93),Groepsloting!D93,Groepsloting!H93),Groepsloting!D93)))</f>
        <v>Deze gegevens moeten in ieder geval compleet zijn:</v>
      </c>
      <c r="C93" s="67"/>
      <c r="D93" s="67" t="s">
        <v>40</v>
      </c>
      <c r="E93" s="67"/>
      <c r="F93" s="67" t="s">
        <v>271</v>
      </c>
      <c r="G93" s="67"/>
      <c r="H93" s="67" t="s">
        <v>300</v>
      </c>
    </row>
    <row r="94" spans="1:8" ht="25.5" hidden="1">
      <c r="A94"/>
      <c r="B94" s="67" t="str">
        <f>IF(Groepsloting!$C$200=1,Groepsloting!D94,IF(Groepsloting!$C$200=2,IF(ISBLANK(Groepsloting!F94),Groepsloting!D94,Groepsloting!F94),IF(Groepsloting!$C$200=3,IF(ISBLANK(Groepsloting!H94),Groepsloting!D94,Groepsloting!H94),Groepsloting!D94)))</f>
        <v>• Persoonlijke gegevens (zie hieronder)</v>
      </c>
      <c r="C94" s="67"/>
      <c r="D94" s="67" t="s">
        <v>272</v>
      </c>
      <c r="E94" s="67"/>
      <c r="F94" s="67" t="s">
        <v>274</v>
      </c>
      <c r="G94" s="67"/>
      <c r="H94" s="67" t="s">
        <v>331</v>
      </c>
    </row>
    <row r="95" spans="1:8" ht="38.25" hidden="1">
      <c r="A95"/>
      <c r="B95" s="67" t="str">
        <f>IF(Groepsloting!$C$200=1,Groepsloting!D95,IF(Groepsloting!$C$200=2,IF(ISBLANK(Groepsloting!F95),Groepsloting!D95,Groepsloting!F95),IF(Groepsloting!$C$200=3,IF(ISBLANK(Groepsloting!H95),Groepsloting!D95,Groepsloting!H95),Groepsloting!D95)))</f>
        <v>• Uitslagen wedstrijden (invulformulier links)</v>
      </c>
      <c r="C95" s="67"/>
      <c r="D95" s="67" t="s">
        <v>430</v>
      </c>
      <c r="E95" s="67"/>
      <c r="F95" s="67" t="s">
        <v>277</v>
      </c>
      <c r="G95" s="67"/>
      <c r="H95" s="67" t="s">
        <v>278</v>
      </c>
    </row>
    <row r="96" spans="1:8" ht="25.5" hidden="1">
      <c r="A96"/>
      <c r="B96" s="67" t="str">
        <f>IF(Groepsloting!$C$200=1,Groepsloting!D96,IF(Groepsloting!$C$200=2,IF(ISBLANK(Groepsloting!F96),Groepsloting!D96,Groepsloting!F96),IF(Groepsloting!$C$200=3,IF(ISBLANK(Groepsloting!H96),Groepsloting!D96,Groepsloting!H96),Groepsloting!D96)))</f>
        <v>• Detailvragen (zie hieronder)</v>
      </c>
      <c r="C96" s="67"/>
      <c r="D96" s="67" t="s">
        <v>273</v>
      </c>
      <c r="E96" s="67"/>
      <c r="F96" s="67" t="s">
        <v>275</v>
      </c>
      <c r="G96" s="67"/>
      <c r="H96" s="67" t="s">
        <v>276</v>
      </c>
    </row>
    <row r="97" spans="1:8" ht="25.5" hidden="1">
      <c r="A97"/>
      <c r="B97" s="50" t="str">
        <f>IF(Groepsloting!$C$200=1,Groepsloting!D97,IF(Groepsloting!$C$200=2,IF(ISBLANK(Groepsloting!F97),Groepsloting!D97,Groepsloting!F97),IF(Groepsloting!$C$200=3,IF(ISBLANK(Groepsloting!H97),Groepsloting!D97,Groepsloting!H97),Groepsloting!D97)))</f>
        <v>Persoonlijke gegevens</v>
      </c>
      <c r="C97" s="50"/>
      <c r="D97" s="50" t="s">
        <v>41</v>
      </c>
      <c r="E97" s="50"/>
      <c r="F97" s="50" t="s">
        <v>155</v>
      </c>
      <c r="G97" s="50"/>
      <c r="H97" s="50" t="s">
        <v>326</v>
      </c>
    </row>
    <row r="98" spans="1:8" hidden="1">
      <c r="A98"/>
      <c r="B98" s="67" t="str">
        <f>IF(Groepsloting!$C$200=1,Groepsloting!D98,IF(Groepsloting!$C$200=2,IF(ISBLANK(Groepsloting!F98),Groepsloting!D98,Groepsloting!F98),IF(Groepsloting!$C$200=3,IF(ISBLANK(Groepsloting!H98),Groepsloting!D98,Groepsloting!H98),Groepsloting!D98)))</f>
        <v xml:space="preserve">Teamnaam*: </v>
      </c>
      <c r="C98" s="67"/>
      <c r="D98" s="67" t="s">
        <v>416</v>
      </c>
      <c r="E98" s="67"/>
      <c r="F98" s="67" t="s">
        <v>417</v>
      </c>
      <c r="G98" s="67"/>
      <c r="H98" s="67" t="s">
        <v>408</v>
      </c>
    </row>
    <row r="99" spans="1:8" hidden="1">
      <c r="A99"/>
      <c r="B99" s="67" t="str">
        <f>IF(Groepsloting!$C$200=1,Groepsloting!D99,IF(Groepsloting!$C$200=2,IF(ISBLANK(Groepsloting!F99),Groepsloting!D99,Groepsloting!F99),IF(Groepsloting!$C$200=3,IF(ISBLANK(Groepsloting!H99),Groepsloting!D99,Groepsloting!H99),Groepsloting!D99)))</f>
        <v>Naam:</v>
      </c>
      <c r="C99" s="67"/>
      <c r="D99" s="67" t="s">
        <v>104</v>
      </c>
      <c r="E99" s="67"/>
      <c r="F99" s="67" t="s">
        <v>149</v>
      </c>
      <c r="G99" s="67"/>
      <c r="H99" s="67" t="s">
        <v>149</v>
      </c>
    </row>
    <row r="100" spans="1:8" hidden="1">
      <c r="A100"/>
      <c r="B100" s="67" t="str">
        <f>IF(Groepsloting!$C$200=1,Groepsloting!D100,IF(Groepsloting!$C$200=2,IF(ISBLANK(Groepsloting!F100),Groepsloting!D100,Groepsloting!F100),IF(Groepsloting!$C$200=3,IF(ISBLANK(Groepsloting!H100),Groepsloting!D100,Groepsloting!H100),Groepsloting!D100)))</f>
        <v xml:space="preserve">Voornaam*: </v>
      </c>
      <c r="C100" s="67"/>
      <c r="D100" s="67" t="s">
        <v>415</v>
      </c>
      <c r="E100" s="67"/>
      <c r="F100" s="67" t="s">
        <v>418</v>
      </c>
      <c r="G100" s="67"/>
      <c r="H100" s="67" t="s">
        <v>409</v>
      </c>
    </row>
    <row r="101" spans="1:8" hidden="1">
      <c r="A101"/>
      <c r="B101" s="67" t="str">
        <f>IF(Groepsloting!$C$200=1,Groepsloting!D101,IF(Groepsloting!$C$200=2,IF(ISBLANK(Groepsloting!F101),Groepsloting!D101,Groepsloting!F101),IF(Groepsloting!$C$200=3,IF(ISBLANK(Groepsloting!H101),Groepsloting!D101,Groepsloting!H101),Groepsloting!D101)))</f>
        <v>Tussenvoegsel*:</v>
      </c>
      <c r="C101" s="67"/>
      <c r="D101" s="67" t="s">
        <v>414</v>
      </c>
      <c r="E101" s="67"/>
      <c r="F101" s="67" t="s">
        <v>419</v>
      </c>
      <c r="G101" s="67"/>
      <c r="H101" s="67" t="s">
        <v>428</v>
      </c>
    </row>
    <row r="102" spans="1:8" hidden="1">
      <c r="A102"/>
      <c r="B102" s="67" t="str">
        <f>IF(Groepsloting!$C$200=1,Groepsloting!D102,IF(Groepsloting!$C$200=2,IF(ISBLANK(Groepsloting!F102),Groepsloting!D102,Groepsloting!F102),IF(Groepsloting!$C$200=3,IF(ISBLANK(Groepsloting!H102),Groepsloting!D102,Groepsloting!H102),Groepsloting!D102)))</f>
        <v>Achternaam*:</v>
      </c>
      <c r="C102" s="67"/>
      <c r="D102" s="67" t="s">
        <v>413</v>
      </c>
      <c r="E102" s="67"/>
      <c r="F102" s="67" t="s">
        <v>420</v>
      </c>
      <c r="G102" s="67"/>
      <c r="H102" s="67" t="s">
        <v>410</v>
      </c>
    </row>
    <row r="103" spans="1:8" hidden="1">
      <c r="A103"/>
      <c r="B103" s="67" t="str">
        <f>IF(Groepsloting!$C$200=1,Groepsloting!D103,IF(Groepsloting!$C$200=2,IF(ISBLANK(Groepsloting!F103),Groepsloting!D103,Groepsloting!F103),IF(Groepsloting!$C$200=3,IF(ISBLANK(Groepsloting!H103),Groepsloting!D103,Groepsloting!H103),Groepsloting!D103)))</f>
        <v>Adres:</v>
      </c>
      <c r="C103" s="67"/>
      <c r="D103" s="67" t="s">
        <v>42</v>
      </c>
      <c r="E103" s="67"/>
      <c r="F103" s="67" t="s">
        <v>150</v>
      </c>
      <c r="G103" s="67"/>
      <c r="H103" s="67" t="s">
        <v>153</v>
      </c>
    </row>
    <row r="104" spans="1:8" hidden="1">
      <c r="A104"/>
      <c r="B104" s="67" t="str">
        <f>IF(Groepsloting!$C$200=1,Groepsloting!D104,IF(Groepsloting!$C$200=2,IF(ISBLANK(Groepsloting!F104),Groepsloting!D104,Groepsloting!F104),IF(Groepsloting!$C$200=3,IF(ISBLANK(Groepsloting!H104),Groepsloting!D104,Groepsloting!H104),Groepsloting!D104)))</f>
        <v>Woonplaats:</v>
      </c>
      <c r="C104" s="67"/>
      <c r="D104" s="67" t="s">
        <v>43</v>
      </c>
      <c r="E104" s="67"/>
      <c r="F104" s="67" t="s">
        <v>151</v>
      </c>
      <c r="G104" s="67"/>
      <c r="H104" s="67" t="s">
        <v>152</v>
      </c>
    </row>
    <row r="105" spans="1:8" hidden="1">
      <c r="A105"/>
      <c r="B105" s="67" t="str">
        <f>IF(Groepsloting!$C$200=1,Groepsloting!D105,IF(Groepsloting!$C$200=2,IF(ISBLANK(Groepsloting!F105),Groepsloting!D105,Groepsloting!F105),IF(Groepsloting!$C$200=3,IF(ISBLANK(Groepsloting!H105),Groepsloting!D105,Groepsloting!H105),Groepsloting!D105)))</f>
        <v>Telefoonnummer:</v>
      </c>
      <c r="C105" s="67"/>
      <c r="D105" s="67" t="s">
        <v>44</v>
      </c>
      <c r="E105" s="67"/>
      <c r="F105" s="67" t="s">
        <v>154</v>
      </c>
      <c r="G105" s="67"/>
      <c r="H105" s="67" t="s">
        <v>327</v>
      </c>
    </row>
    <row r="106" spans="1:8" hidden="1">
      <c r="A106"/>
      <c r="B106" s="67" t="str">
        <f>IF(Groepsloting!$C$200=1,Groepsloting!D106,IF(Groepsloting!$C$200=2,IF(ISBLANK(Groepsloting!F106),Groepsloting!D106,Groepsloting!F106),IF(Groepsloting!$C$200=3,IF(ISBLANK(Groepsloting!H106),Groepsloting!D106,Groepsloting!H106),Groepsloting!D106)))</f>
        <v xml:space="preserve">E-mail*: </v>
      </c>
      <c r="C106" s="67"/>
      <c r="D106" s="67" t="s">
        <v>412</v>
      </c>
      <c r="E106" s="67"/>
      <c r="F106" s="67" t="s">
        <v>411</v>
      </c>
      <c r="G106" s="67"/>
      <c r="H106" s="67" t="s">
        <v>411</v>
      </c>
    </row>
    <row r="107" spans="1:8" hidden="1">
      <c r="A107"/>
      <c r="B107" s="67"/>
      <c r="C107" s="67"/>
      <c r="D107" s="67"/>
      <c r="E107" s="67"/>
      <c r="F107" s="67"/>
      <c r="G107" s="67"/>
      <c r="H107" s="67"/>
    </row>
    <row r="108" spans="1:8" ht="25.5" hidden="1">
      <c r="A108"/>
      <c r="B108" s="50" t="str">
        <f>IF(Groepsloting!$C$200=1,Groepsloting!D108,IF(Groepsloting!$C$200=2,IF(ISBLANK(Groepsloting!F108),Groepsloting!D108,Groepsloting!F108),IF(Groepsloting!$C$200=3,IF(ISBLANK(Groepsloting!H108),Groepsloting!D108,Groepsloting!H108),Groepsloting!D108)))</f>
        <v>Bonus detailvragen</v>
      </c>
      <c r="C108" s="50"/>
      <c r="D108" s="50" t="s">
        <v>403</v>
      </c>
      <c r="E108" s="50"/>
      <c r="F108" s="50" t="s">
        <v>404</v>
      </c>
      <c r="G108" s="50"/>
      <c r="H108" s="50" t="s">
        <v>405</v>
      </c>
    </row>
    <row r="109" spans="1:8" ht="63.75" hidden="1">
      <c r="A109"/>
      <c r="B109" s="67" t="str">
        <f>IF(Groepsloting!$C$200=1,Groepsloting!D109,IF(Groepsloting!$C$200=2,IF(ISBLANK(Groepsloting!F109),Groepsloting!D109,Groepsloting!F109),IF(Groepsloting!$C$200=3,IF(ISBLANK(Groepsloting!H109),Groepsloting!D109,Groepsloting!H109),Groepsloting!D109)))</f>
        <v>1. Welke land krijgt de meeste tegendoelpunten in de groepsfase?  (5 punten)</v>
      </c>
      <c r="C109" s="67"/>
      <c r="D109" s="67" t="s">
        <v>212</v>
      </c>
      <c r="E109" s="67"/>
      <c r="F109" s="67" t="s">
        <v>332</v>
      </c>
      <c r="G109" s="67"/>
      <c r="H109" s="67" t="s">
        <v>328</v>
      </c>
    </row>
    <row r="110" spans="1:8" ht="63.75" hidden="1">
      <c r="A110"/>
      <c r="B110" s="67" t="str">
        <f>IF(Groepsloting!$C$200=1,Groepsloting!D110,IF(Groepsloting!$C$200=2,IF(ISBLANK(Groepsloting!F110),Groepsloting!D110,Groepsloting!F110),IF(Groepsloting!$C$200=3,IF(ISBLANK(Groepsloting!H110),Groepsloting!D110,Groepsloting!H110),Groepsloting!D110)))</f>
        <v>2. Welk land krijgt de minste tegendoelpunten in de groepsfase?  (5 punten)</v>
      </c>
      <c r="C110" s="67"/>
      <c r="D110" s="67" t="s">
        <v>213</v>
      </c>
      <c r="E110" s="67"/>
      <c r="F110" s="67" t="s">
        <v>334</v>
      </c>
      <c r="G110" s="67"/>
      <c r="H110" s="67" t="s">
        <v>329</v>
      </c>
    </row>
    <row r="111" spans="1:8" ht="51" hidden="1">
      <c r="A111"/>
      <c r="B111" s="67" t="str">
        <f>IF(Groepsloting!$C$200=1,Groepsloting!D111,IF(Groepsloting!$C$200=2,IF(ISBLANK(Groepsloting!F111),Groepsloting!D111,Groepsloting!F111),IF(Groepsloting!$C$200=3,IF(ISBLANK(Groepsloting!H111),Groepsloting!D111,Groepsloting!H111),Groepsloting!D111)))</f>
        <v>3. Welk land scoort de meeste doelpunten in de groepsfase?  (5 punten)</v>
      </c>
      <c r="C111" s="67"/>
      <c r="D111" s="67" t="s">
        <v>214</v>
      </c>
      <c r="E111" s="67"/>
      <c r="F111" s="67" t="s">
        <v>333</v>
      </c>
      <c r="G111" s="67"/>
      <c r="H111" s="67" t="s">
        <v>318</v>
      </c>
    </row>
    <row r="112" spans="1:8" ht="51" hidden="1">
      <c r="A112"/>
      <c r="B112" s="67" t="str">
        <f>IF(Groepsloting!$C$200=1,Groepsloting!D112,IF(Groepsloting!$C$200=2,IF(ISBLANK(Groepsloting!F112),Groepsloting!D112,Groepsloting!F112),IF(Groepsloting!$C$200=3,IF(ISBLANK(Groepsloting!H112),Groepsloting!D112,Groepsloting!H112),Groepsloting!D112)))</f>
        <v>4. Welk land scoort de minste doelpunten in de groepsfase?  (5 punten)</v>
      </c>
      <c r="C112" s="67"/>
      <c r="D112" s="67" t="s">
        <v>215</v>
      </c>
      <c r="E112" s="67"/>
      <c r="F112" s="67" t="s">
        <v>335</v>
      </c>
      <c r="G112" s="67"/>
      <c r="H112" s="67" t="s">
        <v>319</v>
      </c>
    </row>
    <row r="113" spans="1:8" ht="51" hidden="1">
      <c r="A113"/>
      <c r="B113" s="67" t="str">
        <f>IF(Groepsloting!$C$200=1,Groepsloting!D113,IF(Groepsloting!$C$200=2,IF(ISBLANK(Groepsloting!F113),Groepsloting!D113,Groepsloting!F113),IF(Groepsloting!$C$200=3,IF(ISBLANK(Groepsloting!H113),Groepsloting!D113,Groepsloting!H113),Groepsloting!D113)))</f>
        <v>5. Wie wordt topscoorder van het toernooi? (Achternaam) (5 punten)</v>
      </c>
      <c r="C113" s="67"/>
      <c r="D113" s="67" t="s">
        <v>523</v>
      </c>
      <c r="E113" s="67"/>
      <c r="F113" s="67" t="s">
        <v>279</v>
      </c>
      <c r="G113" s="67"/>
      <c r="H113" s="67" t="s">
        <v>320</v>
      </c>
    </row>
    <row r="114" spans="1:8" ht="51" hidden="1">
      <c r="A114"/>
      <c r="B114" s="67" t="str">
        <f>IF(Groepsloting!$C$200=1,Groepsloting!D114,IF(Groepsloting!$C$200=2,IF(ISBLANK(Groepsloting!F114),Groepsloting!D114,Groepsloting!F114),IF(Groepsloting!$C$200=3,IF(ISBLANK(Groepsloting!H114),Groepsloting!D114,Groepsloting!H114),Groepsloting!D114)))</f>
        <v>6. Hoeveel doelpunten worden er in het toernooi gescoord?  (range ±5=5pnt)</v>
      </c>
      <c r="C114" s="67"/>
      <c r="D114" s="67" t="s">
        <v>216</v>
      </c>
      <c r="E114" s="67"/>
      <c r="F114" s="67" t="s">
        <v>281</v>
      </c>
      <c r="G114" s="67"/>
      <c r="H114" s="67" t="s">
        <v>324</v>
      </c>
    </row>
    <row r="115" spans="1:8" ht="63.75" hidden="1">
      <c r="A115"/>
      <c r="B115" s="67" t="str">
        <f>IF(Groepsloting!$C$200=1,Groepsloting!D115,IF(Groepsloting!$C$200=2,IF(ISBLANK(Groepsloting!F115),Groepsloting!D115,Groepsloting!F115),IF(Groepsloting!$C$200=3,IF(ISBLANK(Groepsloting!H115),Groepsloting!D115,Groepsloting!H115),Groepsloting!D115)))</f>
        <v>7. Hoeveel gele kaarten vallen er in het toernooi?   (range ±5=5pnt)</v>
      </c>
      <c r="C115" s="67"/>
      <c r="D115" s="67" t="s">
        <v>217</v>
      </c>
      <c r="E115" s="67"/>
      <c r="F115" s="67" t="s">
        <v>280</v>
      </c>
      <c r="G115" s="67"/>
      <c r="H115" s="67" t="s">
        <v>330</v>
      </c>
    </row>
    <row r="116" spans="1:8" ht="51" hidden="1">
      <c r="A116"/>
      <c r="B116" s="67" t="str">
        <f>IF(Groepsloting!$C$200=1,Groepsloting!D116,IF(Groepsloting!$C$200=2,IF(ISBLANK(Groepsloting!F116),Groepsloting!D116,Groepsloting!F116),IF(Groepsloting!$C$200=3,IF(ISBLANK(Groepsloting!H116),Groepsloting!D116,Groepsloting!H116),Groepsloting!D116)))</f>
        <v>8. Wie scoort het eerste doelpunt voor Nederland?  (5 punten)</v>
      </c>
      <c r="C116" s="67"/>
      <c r="D116" s="67" t="s">
        <v>437</v>
      </c>
      <c r="E116" s="67"/>
      <c r="F116" s="67" t="s">
        <v>441</v>
      </c>
      <c r="G116" s="67"/>
      <c r="H116" s="67" t="s">
        <v>448</v>
      </c>
    </row>
    <row r="117" spans="1:8" ht="51" hidden="1">
      <c r="A117"/>
      <c r="B117" s="67" t="str">
        <f>IF(Groepsloting!$C$200=1,Groepsloting!D117,IF(Groepsloting!$C$200=2,IF(ISBLANK(Groepsloting!F117),Groepsloting!D117,Groepsloting!F117),IF(Groepsloting!$C$200=3,IF(ISBLANK(Groepsloting!H117),Groepsloting!D117,Groepsloting!H117),Groepsloting!D117)))</f>
        <v>9. Welke Nederlandse speler krijgt de eerste gele kaart?  (5 punten)</v>
      </c>
      <c r="C117" s="67"/>
      <c r="D117" s="67" t="s">
        <v>438</v>
      </c>
      <c r="E117" s="67"/>
      <c r="F117" s="67" t="s">
        <v>442</v>
      </c>
      <c r="G117" s="67"/>
      <c r="H117" s="67" t="s">
        <v>447</v>
      </c>
    </row>
    <row r="118" spans="1:8" ht="51" hidden="1">
      <c r="A118"/>
      <c r="B118" s="67" t="str">
        <f>IF(Groepsloting!$C$200=1,Groepsloting!D118,IF(Groepsloting!$C$200=2,IF(ISBLANK(Groepsloting!F118),Groepsloting!D118,Groepsloting!F118),IF(Groepsloting!$C$200=3,IF(ISBLANK(Groepsloting!H118),Groepsloting!D118,Groepsloting!H118),Groepsloting!D118)))</f>
        <v>10. Hoeveel doelpunten maakt Nederland in totaal?  (5 punten)</v>
      </c>
      <c r="C118" s="67"/>
      <c r="D118" s="67" t="s">
        <v>439</v>
      </c>
      <c r="E118" s="67"/>
      <c r="F118" s="67" t="s">
        <v>443</v>
      </c>
      <c r="G118" s="67"/>
      <c r="H118" s="67" t="s">
        <v>446</v>
      </c>
    </row>
    <row r="119" spans="1:8" ht="51" hidden="1">
      <c r="A119"/>
      <c r="B119" s="67" t="str">
        <f>IF(Groepsloting!$C$200=1,Groepsloting!D119,IF(Groepsloting!$C$200=2,IF(ISBLANK(Groepsloting!F119),Groepsloting!D119,Groepsloting!F119),IF(Groepsloting!$C$200=3,IF(ISBLANK(Groepsloting!H119),Groepsloting!D119,Groepsloting!H119),Groepsloting!D119)))</f>
        <v>11. Wie wordt topscoorder van Nederland?  (5 punten)</v>
      </c>
      <c r="C119" s="67"/>
      <c r="D119" s="67" t="s">
        <v>440</v>
      </c>
      <c r="E119" s="67"/>
      <c r="F119" s="67" t="s">
        <v>444</v>
      </c>
      <c r="G119" s="67"/>
      <c r="H119" s="67" t="s">
        <v>445</v>
      </c>
    </row>
    <row r="120" spans="1:8" hidden="1">
      <c r="A120"/>
      <c r="B120" s="67"/>
      <c r="C120" s="67"/>
      <c r="D120" s="67"/>
      <c r="E120" s="67"/>
      <c r="F120" s="67"/>
      <c r="G120" s="67"/>
      <c r="H120" s="67"/>
    </row>
    <row r="121" spans="1:8" hidden="1">
      <c r="A121"/>
      <c r="B121" s="50" t="str">
        <f>IF(Groepsloting!$C$200=1,Groepsloting!D121,IF(Groepsloting!$C$200=2,IF(ISBLANK(Groepsloting!F121),Groepsloting!D121,Groepsloting!F121),IF(Groepsloting!$C$200=3,IF(ISBLANK(Groepsloting!H121),Groepsloting!D121,Groepsloting!H121),Groepsloting!D121)))</f>
        <v>Puntentelling</v>
      </c>
      <c r="C121" s="50"/>
      <c r="D121" s="50" t="s">
        <v>406</v>
      </c>
      <c r="E121" s="50"/>
      <c r="F121" s="50" t="s">
        <v>407</v>
      </c>
      <c r="G121" s="50"/>
      <c r="H121" s="50" t="s">
        <v>407</v>
      </c>
    </row>
    <row r="122" spans="1:8" ht="63.75" hidden="1">
      <c r="A122"/>
      <c r="B122" s="67" t="str">
        <f>IF(Groepsloting!$C$200=1,Groepsloting!D122,IF(Groepsloting!$C$200=2,IF(ISBLANK(Groepsloting!F122),Groepsloting!D122,Groepsloting!F122),IF(Groepsloting!$C$200=3,IF(ISBLANK(Groepsloting!H122),Groepsloting!D122,Groepsloting!H122),Groepsloting!D122)))</f>
        <v>• Het invulblad bepaalt automatisch welke landen doorgaan naar de volgende ronde,</v>
      </c>
      <c r="C122" s="50"/>
      <c r="D122" s="67" t="s">
        <v>260</v>
      </c>
      <c r="E122" s="50"/>
      <c r="F122" s="67" t="s">
        <v>283</v>
      </c>
      <c r="G122" s="67"/>
      <c r="H122" s="67" t="s">
        <v>312</v>
      </c>
    </row>
    <row r="123" spans="1:8" ht="63.75" hidden="1">
      <c r="A123"/>
      <c r="B123" s="67" t="str">
        <f>IF(Groepsloting!$C$200=1,Groepsloting!D123,IF(Groepsloting!$C$200=2,IF(ISBLANK(Groepsloting!F123),Groepsloting!D123,Groepsloting!F123),IF(Groepsloting!$C$200=3,IF(ISBLANK(Groepsloting!H123),Groepsloting!D123,Groepsloting!H123),Groepsloting!D123)))</f>
        <v>behalve bij een gelijke stand in de groepsfase en bij gelijkspel in de 'finales'.</v>
      </c>
      <c r="C123" s="67"/>
      <c r="D123" s="67" t="s">
        <v>468</v>
      </c>
      <c r="E123" s="67"/>
      <c r="F123" s="67" t="s">
        <v>469</v>
      </c>
      <c r="G123" s="67"/>
      <c r="H123" s="67" t="s">
        <v>470</v>
      </c>
    </row>
    <row r="124" spans="1:8" ht="63.75" hidden="1">
      <c r="A124"/>
      <c r="B124" s="67" t="str">
        <f>IF(Groepsloting!$C$200=1,Groepsloting!D124,IF(Groepsloting!$C$200=2,IF(ISBLANK(Groepsloting!F124),Groepsloting!D124,Groepsloting!F124),IF(Groepsloting!$C$200=3,IF(ISBLANK(Groepsloting!H124),Groepsloting!D124,Groepsloting!H124),Groepsloting!D124)))</f>
        <v>• Het invulblad geeft aan waar je eventueel een winnaar handmatig moet invullen.</v>
      </c>
      <c r="C124" s="67"/>
      <c r="D124" s="67" t="s">
        <v>262</v>
      </c>
      <c r="E124" s="67"/>
      <c r="F124" s="67" t="s">
        <v>284</v>
      </c>
      <c r="G124" s="67"/>
      <c r="H124" s="67" t="s">
        <v>313</v>
      </c>
    </row>
    <row r="125" spans="1:8" ht="76.5" hidden="1">
      <c r="A125"/>
      <c r="B125" s="129" t="s">
        <v>0</v>
      </c>
      <c r="C125" s="67"/>
      <c r="D125" s="67" t="s">
        <v>266</v>
      </c>
      <c r="E125" s="67"/>
      <c r="F125" s="67" t="s">
        <v>285</v>
      </c>
      <c r="G125" s="67"/>
      <c r="H125" s="67" t="s">
        <v>322</v>
      </c>
    </row>
    <row r="126" spans="1:8" ht="76.5" hidden="1">
      <c r="A126"/>
      <c r="B126" s="67" t="str">
        <f>IF(Groepsloting!$C$200=1,Groepsloting!D126,IF(Groepsloting!$C$200=2,IF(ISBLANK(Groepsloting!F126),Groepsloting!D126,Groepsloting!F126),IF(Groepsloting!$C$200=3,IF(ISBLANK(Groepsloting!H126),Groepsloting!D126,Groepsloting!H126),Groepsloting!D126)))</f>
        <v xml:space="preserve">• Vanaf de achtste finales tot en met de finale geldt de uitslag na een eventueel verlengen van de wedstrijd, maar </v>
      </c>
      <c r="C126" s="67"/>
      <c r="D126" s="67" t="s">
        <v>261</v>
      </c>
      <c r="E126" s="67"/>
      <c r="F126" s="67" t="s">
        <v>298</v>
      </c>
      <c r="G126" s="67"/>
      <c r="H126" s="67" t="s">
        <v>311</v>
      </c>
    </row>
    <row r="127" spans="1:8" ht="89.25" hidden="1">
      <c r="A127"/>
      <c r="B127" s="67" t="str">
        <f>IF(Groepsloting!$C$200=1,Groepsloting!D127,IF(Groepsloting!$C$200=2,IF(ISBLANK(Groepsloting!F127),Groepsloting!D127,Groepsloting!F127),IF(Groepsloting!$C$200=3,IF(ISBLANK(Groepsloting!H127),Groepsloting!D127,Groepsloting!H127),Groepsloting!D127)))</f>
        <v>voor strafschoppen. Als je in een 'finale' een gelijkspel voorspelt, vul dan zelf weer de winnaar in voor de volgende 'finale'!</v>
      </c>
      <c r="C127" s="67"/>
      <c r="D127" s="67" t="s">
        <v>263</v>
      </c>
      <c r="E127" s="67"/>
      <c r="F127" s="67" t="s">
        <v>429</v>
      </c>
      <c r="G127" s="67"/>
      <c r="H127" s="67" t="s">
        <v>323</v>
      </c>
    </row>
    <row r="128" spans="1:8" ht="76.5" hidden="1">
      <c r="A128"/>
      <c r="B128" s="67" t="str">
        <f>IF(Groepsloting!$C$200=1,Groepsloting!D128,IF(Groepsloting!$C$200=2,IF(ISBLANK(Groepsloting!F128),Groepsloting!D128,Groepsloting!F128),IF(Groepsloting!$C$200=3,IF(ISBLANK(Groepsloting!H128),Groepsloting!D128,Groepsloting!H128),Groepsloting!D128)))</f>
        <v>• Als je de winkansen wilt spreiden, kan je ook handmatig de finalisten selecteren of een andere toto invullen.</v>
      </c>
      <c r="C128" s="67"/>
      <c r="D128" s="67" t="s">
        <v>267</v>
      </c>
      <c r="E128" s="67"/>
      <c r="F128" s="67" t="s">
        <v>288</v>
      </c>
      <c r="G128" s="67"/>
      <c r="H128" s="67" t="s">
        <v>314</v>
      </c>
    </row>
    <row r="129" spans="1:8" ht="38.25" hidden="1">
      <c r="A129"/>
      <c r="B129" s="67" t="str">
        <f>IF(Groepsloting!$C$200=1,Groepsloting!D129,IF(Groepsloting!$C$200=2,IF(ISBLANK(Groepsloting!F129),Groepsloting!D129,Groepsloting!F129),IF(Groepsloting!$C$200=3,IF(ISBLANK(Groepsloting!H129),Groepsloting!D129,Groepsloting!H129),Groepsloting!D129)))</f>
        <v>Juiste aantal doelpunten thuis spelend team (juiste toto)</v>
      </c>
      <c r="C129" s="67"/>
      <c r="D129" s="67" t="s">
        <v>23</v>
      </c>
      <c r="E129" s="67"/>
      <c r="F129" s="67" t="s">
        <v>286</v>
      </c>
      <c r="G129" s="67"/>
      <c r="H129" s="67" t="s">
        <v>310</v>
      </c>
    </row>
    <row r="130" spans="1:8" ht="38.25" hidden="1">
      <c r="A130"/>
      <c r="B130" s="67" t="str">
        <f>IF(Groepsloting!$C$200=1,Groepsloting!D130,IF(Groepsloting!$C$200=2,IF(ISBLANK(Groepsloting!F130),Groepsloting!D130,Groepsloting!F130),IF(Groepsloting!$C$200=3,IF(ISBLANK(Groepsloting!H130),Groepsloting!D130,Groepsloting!H130),Groepsloting!D130)))</f>
        <v>Juiste aantal doelpunten thuis spelend team (onjuiste toto)</v>
      </c>
      <c r="C130" s="67"/>
      <c r="D130" s="67" t="s">
        <v>24</v>
      </c>
      <c r="E130" s="67"/>
      <c r="F130" s="67" t="s">
        <v>287</v>
      </c>
      <c r="G130" s="67"/>
      <c r="H130" s="67" t="s">
        <v>308</v>
      </c>
    </row>
    <row r="131" spans="1:8" ht="38.25" hidden="1">
      <c r="A131"/>
      <c r="B131" s="67" t="str">
        <f>IF(Groepsloting!$C$200=1,Groepsloting!D131,IF(Groepsloting!$C$200=2,IF(ISBLANK(Groepsloting!F131),Groepsloting!D131,Groepsloting!F131),IF(Groepsloting!$C$200=3,IF(ISBLANK(Groepsloting!H131),Groepsloting!D131,Groepsloting!H131),Groepsloting!D131)))</f>
        <v>Juiste aantal doelpunten uit spelend team (juiste toto)</v>
      </c>
      <c r="C131" s="67"/>
      <c r="D131" s="67" t="s">
        <v>25</v>
      </c>
      <c r="E131" s="67"/>
      <c r="F131" s="67" t="s">
        <v>289</v>
      </c>
      <c r="G131" s="67"/>
      <c r="H131" s="67" t="s">
        <v>307</v>
      </c>
    </row>
    <row r="132" spans="1:8" ht="38.25" hidden="1">
      <c r="A132"/>
      <c r="B132" s="67" t="str">
        <f>IF(Groepsloting!$C$200=1,Groepsloting!D132,IF(Groepsloting!$C$200=2,IF(ISBLANK(Groepsloting!F132),Groepsloting!D132,Groepsloting!F132),IF(Groepsloting!$C$200=3,IF(ISBLANK(Groepsloting!H132),Groepsloting!D132,Groepsloting!H132),Groepsloting!D132)))</f>
        <v>Juiste aantal doelpunten uit spelend team (onjuiste toto)</v>
      </c>
      <c r="C132" s="67"/>
      <c r="D132" s="67" t="s">
        <v>26</v>
      </c>
      <c r="E132" s="67"/>
      <c r="F132" s="67" t="s">
        <v>290</v>
      </c>
      <c r="G132" s="67"/>
      <c r="H132" s="67" t="s">
        <v>309</v>
      </c>
    </row>
    <row r="133" spans="1:8" ht="51" hidden="1">
      <c r="A133"/>
      <c r="B133" s="67" t="str">
        <f>IF(Groepsloting!$C$200=1,Groepsloting!D133,IF(Groepsloting!$C$200=2,IF(ISBLANK(Groepsloting!F133),Groepsloting!D133,Groepsloting!F133),IF(Groepsloting!$C$200=3,IF(ISBLANK(Groepsloting!H133),Groepsloting!D133,Groepsloting!H133),Groepsloting!D133)))</f>
        <v>Juiste "toto"-uitslag</v>
      </c>
      <c r="C133" s="67"/>
      <c r="D133" s="67" t="s">
        <v>27</v>
      </c>
      <c r="E133" s="67"/>
      <c r="F133" s="67" t="s">
        <v>291</v>
      </c>
      <c r="G133" s="67"/>
      <c r="H133" s="67" t="s">
        <v>325</v>
      </c>
    </row>
    <row r="134" spans="1:8" ht="25.5" hidden="1">
      <c r="A134"/>
      <c r="B134" s="67" t="str">
        <f>IF(Groepsloting!$C$200=1,Groepsloting!D134,IF(Groepsloting!$C$200=2,IF(ISBLANK(Groepsloting!F134),Groepsloting!D134,Groepsloting!F134),IF(Groepsloting!$C$200=3,IF(ISBLANK(Groepsloting!H134),Groepsloting!D134,Groepsloting!H134),Groepsloting!D134)))</f>
        <v>Team op juiste plaats in achtste finale</v>
      </c>
      <c r="C134" s="67"/>
      <c r="D134" s="67" t="s">
        <v>28</v>
      </c>
      <c r="E134" s="67"/>
      <c r="F134" s="67" t="s">
        <v>294</v>
      </c>
      <c r="G134" s="67"/>
      <c r="H134" s="67" t="s">
        <v>305</v>
      </c>
    </row>
    <row r="135" spans="1:8" ht="25.5" hidden="1">
      <c r="A135"/>
      <c r="B135" s="67" t="str">
        <f>IF(Groepsloting!$C$200=1,Groepsloting!D135,IF(Groepsloting!$C$200=2,IF(ISBLANK(Groepsloting!F135),Groepsloting!D135,Groepsloting!F135),IF(Groepsloting!$C$200=3,IF(ISBLANK(Groepsloting!H135),Groepsloting!D135,Groepsloting!H135),Groepsloting!D135)))</f>
        <v>Team op onjuiste plaats in achtste finale</v>
      </c>
      <c r="C135" s="67"/>
      <c r="D135" s="67" t="s">
        <v>29</v>
      </c>
      <c r="E135" s="67"/>
      <c r="F135" s="67" t="s">
        <v>292</v>
      </c>
      <c r="G135" s="67"/>
      <c r="H135" s="67" t="s">
        <v>306</v>
      </c>
    </row>
    <row r="136" spans="1:8" ht="38.25" hidden="1">
      <c r="A136"/>
      <c r="B136" s="67" t="str">
        <f>IF(Groepsloting!$C$200=1,Groepsloting!D136,IF(Groepsloting!$C$200=2,IF(ISBLANK(Groepsloting!F136),Groepsloting!D136,Groepsloting!F136),IF(Groepsloting!$C$200=3,IF(ISBLANK(Groepsloting!H136),Groepsloting!D136,Groepsloting!H136),Groepsloting!D136)))</f>
        <v>Juiste team in kwartfinale, op welke plaats dan ook</v>
      </c>
      <c r="C136" s="67"/>
      <c r="D136" s="67" t="s">
        <v>30</v>
      </c>
      <c r="E136" s="67"/>
      <c r="F136" s="67" t="s">
        <v>293</v>
      </c>
      <c r="G136" s="67"/>
      <c r="H136" s="67" t="s">
        <v>304</v>
      </c>
    </row>
    <row r="137" spans="1:8" ht="38.25" hidden="1">
      <c r="A137"/>
      <c r="B137" s="67" t="str">
        <f>IF(Groepsloting!$C$200=1,Groepsloting!D137,IF(Groepsloting!$C$200=2,IF(ISBLANK(Groepsloting!F137),Groepsloting!D137,Groepsloting!F137),IF(Groepsloting!$C$200=3,IF(ISBLANK(Groepsloting!H137),Groepsloting!D137,Groepsloting!H137),Groepsloting!D137)))</f>
        <v>Juiste team in halve finale, op welke plaats dan ook</v>
      </c>
      <c r="C137" s="67"/>
      <c r="D137" s="67" t="s">
        <v>31</v>
      </c>
      <c r="E137" s="67"/>
      <c r="F137" s="67" t="s">
        <v>296</v>
      </c>
      <c r="G137" s="67"/>
      <c r="H137" s="67" t="s">
        <v>303</v>
      </c>
    </row>
    <row r="138" spans="1:8" ht="25.5" hidden="1">
      <c r="A138"/>
      <c r="B138" s="129" t="s">
        <v>0</v>
      </c>
      <c r="C138" s="67"/>
      <c r="D138" s="67" t="s">
        <v>32</v>
      </c>
      <c r="E138" s="67"/>
      <c r="F138" s="67" t="s">
        <v>295</v>
      </c>
      <c r="G138" s="67"/>
      <c r="H138" s="67" t="s">
        <v>302</v>
      </c>
    </row>
    <row r="139" spans="1:8" ht="25.5" hidden="1">
      <c r="A139"/>
      <c r="B139" s="67" t="str">
        <f>IF(Groepsloting!$C$200=1,Groepsloting!D139,IF(Groepsloting!$C$200=2,IF(ISBLANK(Groepsloting!F139),Groepsloting!D139,Groepsloting!F139),IF(Groepsloting!$C$200=3,IF(ISBLANK(Groepsloting!H139),Groepsloting!D139,Groepsloting!H139),Groepsloting!D139)))</f>
        <v>Juiste team in finale, op welke plaats dan ook</v>
      </c>
      <c r="C139" s="67"/>
      <c r="D139" s="67" t="s">
        <v>33</v>
      </c>
      <c r="E139" s="67"/>
      <c r="F139" s="67" t="s">
        <v>297</v>
      </c>
      <c r="G139" s="67"/>
      <c r="H139" s="67" t="s">
        <v>301</v>
      </c>
    </row>
    <row r="140" spans="1:8" ht="25.5" hidden="1">
      <c r="A140"/>
      <c r="B140" s="67" t="str">
        <f>IF(Groepsloting!$C$200=1,Groepsloting!D140,IF(Groepsloting!$C$200=2,IF(ISBLANK(Groepsloting!F140),Groepsloting!D140,Groepsloting!F140),IF(Groepsloting!$C$200=3,IF(ISBLANK(Groepsloting!H140),Groepsloting!D140,Groepsloting!H140),Groepsloting!D140)))</f>
        <v>Juiste voorspelling van Europees kampioen</v>
      </c>
      <c r="C140" s="67"/>
      <c r="D140" s="67" t="str">
        <f>"Juiste voorspelling van "&amp;D90</f>
        <v>Juiste voorspelling van Europees kampioen</v>
      </c>
      <c r="E140" s="67"/>
      <c r="F140" s="67" t="str">
        <f>"Correct "&amp;F90</f>
        <v>Correct Euro Champion</v>
      </c>
      <c r="G140" s="67"/>
      <c r="H140" s="67" t="str">
        <f>"Richtige "&amp;H90</f>
        <v>Richtige Europameister</v>
      </c>
    </row>
    <row r="141" spans="1:8" hidden="1">
      <c r="A141"/>
      <c r="B141" s="67" t="str">
        <f>IF(Groepsloting!$C$200=1,Groepsloting!D141,IF(Groepsloting!$C$200=2,IF(ISBLANK(Groepsloting!F141),Groepsloting!D141,Groepsloting!F141),IF(Groepsloting!$C$200=3,IF(ISBLANK(Groepsloting!H141),Groepsloting!D141,Groepsloting!H141),Groepsloting!D141)))</f>
        <v>Inleg per team</v>
      </c>
      <c r="C141" s="67"/>
      <c r="D141" s="67" t="s">
        <v>46</v>
      </c>
      <c r="E141" s="67"/>
      <c r="F141" s="67" t="s">
        <v>170</v>
      </c>
      <c r="G141" s="67"/>
      <c r="H141" s="67" t="s">
        <v>171</v>
      </c>
    </row>
    <row r="142" spans="1:8" hidden="1">
      <c r="A142"/>
      <c r="B142" s="67"/>
      <c r="C142" s="67"/>
      <c r="D142" s="67"/>
      <c r="E142" s="67"/>
      <c r="F142" s="67"/>
      <c r="G142" s="67"/>
      <c r="H142" s="67"/>
    </row>
    <row r="143" spans="1:8" hidden="1">
      <c r="A143"/>
      <c r="B143" s="50" t="str">
        <f>IF(Groepsloting!$C$200=1,Groepsloting!D143,IF(Groepsloting!$C$200=2,IF(ISBLANK(Groepsloting!F143),Groepsloting!D143,Groepsloting!F143),IF(Groepsloting!$C$200=3,IF(ISBLANK(Groepsloting!H143),Groepsloting!D143,Groepsloting!H143),Groepsloting!D143)))</f>
        <v>Prijzen</v>
      </c>
      <c r="C143" s="50"/>
      <c r="D143" s="50" t="s">
        <v>427</v>
      </c>
      <c r="E143" s="50"/>
      <c r="F143" s="50" t="s">
        <v>425</v>
      </c>
      <c r="G143" s="50"/>
      <c r="H143" s="50" t="s">
        <v>426</v>
      </c>
    </row>
    <row r="144" spans="1:8" hidden="1">
      <c r="A144"/>
      <c r="B144" s="67" t="str">
        <f>IF(Groepsloting!$C$200=1,Groepsloting!D144,IF(Groepsloting!$C$200=2,IF(ISBLANK(Groepsloting!F144),Groepsloting!D144,Groepsloting!F144),IF(Groepsloting!$C$200=3,IF(ISBLANK(Groepsloting!H144),Groepsloting!D144,Groepsloting!H144),Groepsloting!D144)))</f>
        <v>1e prijs</v>
      </c>
      <c r="C144" s="67"/>
      <c r="D144" s="67" t="s">
        <v>47</v>
      </c>
      <c r="E144" s="67"/>
      <c r="F144" s="67" t="s">
        <v>164</v>
      </c>
      <c r="G144" s="67"/>
      <c r="H144" s="67" t="s">
        <v>156</v>
      </c>
    </row>
    <row r="145" spans="1:8" hidden="1">
      <c r="A145"/>
      <c r="B145" s="67" t="str">
        <f>IF(Groepsloting!$C$200=1,Groepsloting!D145,IF(Groepsloting!$C$200=2,IF(ISBLANK(Groepsloting!F145),Groepsloting!D145,Groepsloting!F145),IF(Groepsloting!$C$200=3,IF(ISBLANK(Groepsloting!H145),Groepsloting!D145,Groepsloting!H145),Groepsloting!D145)))</f>
        <v>2e prijs</v>
      </c>
      <c r="C145" s="67"/>
      <c r="D145" s="67" t="s">
        <v>48</v>
      </c>
      <c r="E145" s="67"/>
      <c r="F145" s="67" t="s">
        <v>161</v>
      </c>
      <c r="G145" s="67"/>
      <c r="H145" s="67" t="s">
        <v>160</v>
      </c>
    </row>
    <row r="146" spans="1:8" hidden="1">
      <c r="A146"/>
      <c r="B146" s="67" t="str">
        <f>IF(Groepsloting!$C$200=1,Groepsloting!D146,IF(Groepsloting!$C$200=2,IF(ISBLANK(Groepsloting!F146),Groepsloting!D146,Groepsloting!F146),IF(Groepsloting!$C$200=3,IF(ISBLANK(Groepsloting!H146),Groepsloting!D146,Groepsloting!H146),Groepsloting!D146)))</f>
        <v>3e prijs</v>
      </c>
      <c r="C146" s="67"/>
      <c r="D146" s="67" t="s">
        <v>49</v>
      </c>
      <c r="E146" s="67"/>
      <c r="F146" s="67" t="s">
        <v>163</v>
      </c>
      <c r="G146" s="67"/>
      <c r="H146" s="67" t="s">
        <v>159</v>
      </c>
    </row>
    <row r="147" spans="1:8" hidden="1">
      <c r="A147"/>
      <c r="B147" s="67" t="str">
        <f>IF(Groepsloting!$C$200=1,Groepsloting!D147,IF(Groepsloting!$C$200=2,IF(ISBLANK(Groepsloting!F147),Groepsloting!D147,Groepsloting!F147),IF(Groepsloting!$C$200=3,IF(ISBLANK(Groepsloting!H147),Groepsloting!D147,Groepsloting!H147),Groepsloting!D147)))</f>
        <v>13e prijs</v>
      </c>
      <c r="C147" s="67"/>
      <c r="D147" s="67" t="s">
        <v>51</v>
      </c>
      <c r="E147" s="67"/>
      <c r="F147" s="67" t="s">
        <v>162</v>
      </c>
      <c r="G147" s="67"/>
      <c r="H147" s="67" t="s">
        <v>158</v>
      </c>
    </row>
    <row r="148" spans="1:8" hidden="1">
      <c r="A148"/>
      <c r="B148" s="67" t="str">
        <f>IF(Groepsloting!$C$200=1,Groepsloting!D148,IF(Groepsloting!$C$200=2,IF(ISBLANK(Groepsloting!F148),Groepsloting!D148,Groepsloting!F148),IF(Groepsloting!$C$200=3,IF(ISBLANK(Groepsloting!H148),Groepsloting!D148,Groepsloting!H148),Groepsloting!D148)))</f>
        <v>23e prijs</v>
      </c>
      <c r="C148" s="67"/>
      <c r="D148" s="67" t="s">
        <v>52</v>
      </c>
      <c r="E148" s="67"/>
      <c r="F148" s="67" t="s">
        <v>165</v>
      </c>
      <c r="G148" s="67"/>
      <c r="H148" s="67" t="s">
        <v>157</v>
      </c>
    </row>
    <row r="149" spans="1:8" hidden="1">
      <c r="A149"/>
      <c r="B149" s="67" t="str">
        <f>IF(Groepsloting!$C$200=1,Groepsloting!D149,IF(Groepsloting!$C$200=2,IF(ISBLANK(Groepsloting!F149),Groepsloting!D149,Groepsloting!F149),IF(Groepsloting!$C$200=3,IF(ISBLANK(Groepsloting!H149),Groepsloting!D149,Groepsloting!H149),Groepsloting!D149)))</f>
        <v>33e prijs</v>
      </c>
      <c r="C149" s="67"/>
      <c r="D149" s="67" t="s">
        <v>173</v>
      </c>
      <c r="E149" s="67"/>
      <c r="F149" s="67" t="s">
        <v>176</v>
      </c>
      <c r="G149" s="67"/>
      <c r="H149" s="67" t="s">
        <v>167</v>
      </c>
    </row>
    <row r="150" spans="1:8" hidden="1">
      <c r="A150"/>
      <c r="B150" s="67" t="str">
        <f>IF(Groepsloting!$C$200=1,Groepsloting!D150,IF(Groepsloting!$C$200=2,IF(ISBLANK(Groepsloting!F150),Groepsloting!D150,Groepsloting!F150),IF(Groepsloting!$C$200=3,IF(ISBLANK(Groepsloting!H150),Groepsloting!D150,Groepsloting!H150),Groepsloting!D150)))</f>
        <v>43e prijs</v>
      </c>
      <c r="C150" s="67"/>
      <c r="D150" s="67" t="s">
        <v>174</v>
      </c>
      <c r="E150" s="67"/>
      <c r="F150" s="67" t="s">
        <v>177</v>
      </c>
      <c r="G150" s="67"/>
      <c r="H150" s="67" t="s">
        <v>168</v>
      </c>
    </row>
    <row r="151" spans="1:8" hidden="1">
      <c r="A151"/>
      <c r="B151" s="67" t="str">
        <f>IF(Groepsloting!$C$200=1,Groepsloting!D151,IF(Groepsloting!$C$200=2,IF(ISBLANK(Groepsloting!F151),Groepsloting!D151,Groepsloting!F151),IF(Groepsloting!$C$200=3,IF(ISBLANK(Groepsloting!H151),Groepsloting!D151,Groepsloting!H151),Groepsloting!D151)))</f>
        <v>53e prijs</v>
      </c>
      <c r="C151" s="67"/>
      <c r="D151" s="67" t="s">
        <v>175</v>
      </c>
      <c r="E151" s="67"/>
      <c r="F151" s="67" t="s">
        <v>178</v>
      </c>
      <c r="G151" s="67"/>
      <c r="H151" s="67" t="s">
        <v>168</v>
      </c>
    </row>
    <row r="152" spans="1:8" hidden="1">
      <c r="A152"/>
      <c r="B152" s="67" t="str">
        <f>IF(Groepsloting!$C$200=1,Groepsloting!D152,IF(Groepsloting!$C$200=2,IF(ISBLANK(Groepsloting!F152),Groepsloting!D152,Groepsloting!F152),IF(Groepsloting!$C$200=3,IF(ISBLANK(Groepsloting!H152),Groepsloting!D152,Groepsloting!H152),Groepsloting!D152)))</f>
        <v>Troostprijs</v>
      </c>
      <c r="C152" s="67"/>
      <c r="D152" s="67" t="s">
        <v>50</v>
      </c>
      <c r="E152" s="67"/>
      <c r="F152" s="67" t="s">
        <v>169</v>
      </c>
      <c r="G152" s="67"/>
      <c r="H152" s="67" t="s">
        <v>166</v>
      </c>
    </row>
    <row r="153" spans="1:8" hidden="1">
      <c r="A153"/>
      <c r="B153" s="67" t="str">
        <f>IF(Groepsloting!$C$200=1,Groepsloting!D153,IF(Groepsloting!$C$200=2,IF(ISBLANK(Groepsloting!F153),Groepsloting!D153,Groepsloting!F153),IF(Groepsloting!$C$200=3,IF(ISBLANK(Groepsloting!H153),Groepsloting!D153,Groepsloting!H153),Groepsloting!D153)))</f>
        <v>Bratwurst</v>
      </c>
      <c r="C153" s="67"/>
      <c r="D153" s="67" t="s">
        <v>524</v>
      </c>
      <c r="E153" s="67"/>
      <c r="F153" s="67" t="s">
        <v>524</v>
      </c>
      <c r="G153" s="67"/>
      <c r="H153" s="67" t="s">
        <v>524</v>
      </c>
    </row>
    <row r="154" spans="1:8" ht="25.5" hidden="1">
      <c r="A154"/>
      <c r="B154" s="67" t="str">
        <f>IF(Groepsloting!$C$200=1,Groepsloting!D154,IF(Groepsloting!$C$200=2,IF(ISBLANK(Groepsloting!F154),Groepsloting!D154,Groepsloting!F154),IF(Groepsloting!$C$200=3,IF(ISBLANK(Groepsloting!H154),Groepsloting!D154,Groepsloting!H154),Groepsloting!D154)))</f>
        <v>Bij gelijke stand worden prijzen gedeeld</v>
      </c>
      <c r="C154" s="67"/>
      <c r="D154" s="67" t="s">
        <v>88</v>
      </c>
      <c r="E154" s="67"/>
      <c r="F154" s="67" t="s">
        <v>282</v>
      </c>
      <c r="G154" s="67"/>
      <c r="H154" s="67" t="s">
        <v>315</v>
      </c>
    </row>
    <row r="155" spans="1:8" ht="51" hidden="1">
      <c r="A155"/>
      <c r="B155" s="67" t="str">
        <f>IF(Groepsloting!$C$200=1,Groepsloting!D155,IF(Groepsloting!$C$200=2,IF(ISBLANK(Groepsloting!F155),Groepsloting!D155,Groepsloting!F155),IF(Groepsloting!$C$200=3,IF(ISBLANK(Groepsloting!H155),Groepsloting!D155,Groepsloting!H155),Groepsloting!D155)))</f>
        <v xml:space="preserve">Als alles is ingevuld, sla het bestand op met de bestandsnaam: </v>
      </c>
      <c r="C155" s="67"/>
      <c r="D155" s="67" t="s">
        <v>148</v>
      </c>
      <c r="E155" s="67"/>
      <c r="F155" s="67" t="s">
        <v>299</v>
      </c>
      <c r="G155" s="67"/>
      <c r="H155" s="67" t="s">
        <v>316</v>
      </c>
    </row>
    <row r="156" spans="1:8" hidden="1">
      <c r="A156"/>
      <c r="B156" s="67" t="str">
        <f>IF(Groepsloting!$C$200=1,Groepsloting!D156,IF(Groepsloting!$C$200=2,IF(ISBLANK(Groepsloting!F156),Groepsloting!D156,Groepsloting!F156),IF(Groepsloting!$C$200=3,IF(ISBLANK(Groepsloting!H156),Groepsloting!D156,Groepsloting!H156),Groepsloting!D156)))</f>
        <v>Teamnaam</v>
      </c>
      <c r="C156" s="67"/>
      <c r="D156" s="67" t="s">
        <v>251</v>
      </c>
      <c r="E156" s="67"/>
      <c r="F156" s="67" t="s">
        <v>250</v>
      </c>
      <c r="G156" s="67"/>
      <c r="H156" s="67" t="s">
        <v>321</v>
      </c>
    </row>
    <row r="157" spans="1:8" hidden="1">
      <c r="A157"/>
      <c r="B157" s="67" t="str">
        <f>IF(Groepsloting!$C$200=1,Groepsloting!D157,IF(Groepsloting!$C$200=2,IF(ISBLANK(Groepsloting!F157),Groepsloting!D157,Groepsloting!F157),IF(Groepsloting!$C$200=3,IF(ISBLANK(Groepsloting!H157),Groepsloting!D157,Groepsloting!H157),Groepsloting!D157)))</f>
        <v xml:space="preserve">.xlsx </v>
      </c>
      <c r="D157" s="68" t="s">
        <v>264</v>
      </c>
      <c r="F157" s="4" t="s">
        <v>264</v>
      </c>
      <c r="H157" s="4" t="s">
        <v>269</v>
      </c>
    </row>
    <row r="158" spans="1:8" hidden="1">
      <c r="A158"/>
      <c r="B158" s="67" t="str">
        <f>IF(Groepsloting!$C$200=1,Groepsloting!D158,IF(Groepsloting!$C$200=2,IF(ISBLANK(Groepsloting!F158),Groepsloting!D158,Groepsloting!F158),IF(Groepsloting!$C$200=3,IF(ISBLANK(Groepsloting!H158),Groepsloting!D158,Groepsloting!H158),Groepsloting!D158)))</f>
        <v>en stuur deze dan naar:</v>
      </c>
      <c r="D158" s="68" t="s">
        <v>265</v>
      </c>
      <c r="F158" s="4" t="s">
        <v>268</v>
      </c>
      <c r="H158" s="4" t="s">
        <v>270</v>
      </c>
    </row>
    <row r="159" spans="1:8" ht="76.5" hidden="1">
      <c r="A159"/>
      <c r="B159" s="67" t="str">
        <f>IF(Groepsloting!$C$200=1,Groepsloting!D159,IF(Groepsloting!$C$200=2,IF(ISBLANK(Groepsloting!F159),Groepsloting!D159,Groepsloting!F159),IF(Groepsloting!$C$200=3,IF(ISBLANK(Groepsloting!H159),Groepsloting!D159,Groepsloting!H159),Groepsloting!D159)))</f>
        <v>Lever het formulier en de inleg in vóór 14 juni 2024 18:00 uur bij Bas of Bastiaan, anders geen deelname.</v>
      </c>
      <c r="D159" s="67" t="s">
        <v>504</v>
      </c>
      <c r="F159" s="67" t="s">
        <v>505</v>
      </c>
      <c r="H159" s="67" t="s">
        <v>506</v>
      </c>
    </row>
    <row r="160" spans="1:8" hidden="1">
      <c r="A160"/>
    </row>
    <row r="161" spans="1:8" hidden="1">
      <c r="A161"/>
      <c r="B161" s="4" t="s">
        <v>179</v>
      </c>
    </row>
    <row r="162" spans="1:8" hidden="1">
      <c r="A162"/>
      <c r="B162" s="67" t="str">
        <f>IF(Groepsloting!$C$200=1,Groepsloting!D162,IF(Groepsloting!$C$200=2,IF(ISBLANK(Groepsloting!F162),Groepsloting!D162,Groepsloting!F162),IF(Groepsloting!$C$200=3,IF(ISBLANK(Groepsloting!H162),Groepsloting!D162,Groepsloting!H162),Groepsloting!D162)))</f>
        <v>selecteer…</v>
      </c>
      <c r="D162" s="4" t="s">
        <v>195</v>
      </c>
      <c r="F162" s="4" t="s">
        <v>194</v>
      </c>
      <c r="H162" s="4" t="s">
        <v>317</v>
      </c>
    </row>
    <row r="163" spans="1:8" hidden="1">
      <c r="A163"/>
      <c r="B163" s="67" t="str">
        <f>IF(Groepsloting!$C$200=1,Groepsloting!D163,IF(Groepsloting!$C$200=2,IF(ISBLANK(Groepsloting!F163),Groepsloting!D163,Groepsloting!F163),IF(Groepsloting!$C$200=3,IF(ISBLANK(Groepsloting!H163),Groepsloting!D163,Groepsloting!H163),Groepsloting!D163)))</f>
        <v>Duitsland</v>
      </c>
      <c r="D163" s="4" t="str">
        <f>D2</f>
        <v>Duitsland</v>
      </c>
      <c r="F163" s="4" t="str">
        <f t="shared" ref="F163:H163" si="0">F2</f>
        <v>Germany</v>
      </c>
      <c r="H163" s="4" t="str">
        <f t="shared" si="0"/>
        <v>Deutschland</v>
      </c>
    </row>
    <row r="164" spans="1:8" hidden="1">
      <c r="A164"/>
      <c r="B164" s="67" t="str">
        <f>IF(Groepsloting!$C$200=1,Groepsloting!D164,IF(Groepsloting!$C$200=2,IF(ISBLANK(Groepsloting!F164),Groepsloting!D164,Groepsloting!F164),IF(Groepsloting!$C$200=3,IF(ISBLANK(Groepsloting!H164),Groepsloting!D164,Groepsloting!H164),Groepsloting!D164)))</f>
        <v>Schotland</v>
      </c>
      <c r="D164" s="4" t="str">
        <f t="shared" ref="D164:H166" si="1">D3</f>
        <v>Schotland</v>
      </c>
      <c r="F164" s="4" t="str">
        <f t="shared" si="1"/>
        <v>Scotland</v>
      </c>
      <c r="H164" s="4" t="str">
        <f t="shared" si="1"/>
        <v>Schottland</v>
      </c>
    </row>
    <row r="165" spans="1:8" hidden="1">
      <c r="A165"/>
      <c r="B165" s="67" t="str">
        <f>IF(Groepsloting!$C$200=1,Groepsloting!D165,IF(Groepsloting!$C$200=2,IF(ISBLANK(Groepsloting!F165),Groepsloting!D165,Groepsloting!F165),IF(Groepsloting!$C$200=3,IF(ISBLANK(Groepsloting!H165),Groepsloting!D165,Groepsloting!H165),Groepsloting!D165)))</f>
        <v>Hongarije</v>
      </c>
      <c r="D165" s="4" t="str">
        <f t="shared" si="1"/>
        <v>Hongarije</v>
      </c>
      <c r="F165" s="4" t="str">
        <f t="shared" si="1"/>
        <v>Hungary</v>
      </c>
      <c r="H165" s="4" t="str">
        <f t="shared" si="1"/>
        <v>Ungarn</v>
      </c>
    </row>
    <row r="166" spans="1:8" hidden="1">
      <c r="A166"/>
      <c r="B166" s="67" t="str">
        <f>IF(Groepsloting!$C$200=1,Groepsloting!D166,IF(Groepsloting!$C$200=2,IF(ISBLANK(Groepsloting!F166),Groepsloting!D166,Groepsloting!F166),IF(Groepsloting!$C$200=3,IF(ISBLANK(Groepsloting!H166),Groepsloting!D166,Groepsloting!H166),Groepsloting!D166)))</f>
        <v>Zwitserland</v>
      </c>
      <c r="D166" s="4" t="str">
        <f t="shared" si="1"/>
        <v>Zwitserland</v>
      </c>
      <c r="F166" s="4" t="str">
        <f t="shared" si="1"/>
        <v>Switserland</v>
      </c>
      <c r="H166" s="4" t="str">
        <f t="shared" si="1"/>
        <v>Schweiz</v>
      </c>
    </row>
    <row r="167" spans="1:8" hidden="1">
      <c r="A167"/>
      <c r="B167" s="67" t="str">
        <f>IF(Groepsloting!$C$200=1,Groepsloting!D167,IF(Groepsloting!$C$200=2,IF(ISBLANK(Groepsloting!F167),Groepsloting!D167,Groepsloting!F167),IF(Groepsloting!$C$200=3,IF(ISBLANK(Groepsloting!H167),Groepsloting!D167,Groepsloting!H167),Groepsloting!D167)))</f>
        <v>Spanje</v>
      </c>
      <c r="D167" s="4" t="str">
        <f>D8</f>
        <v>Spanje</v>
      </c>
      <c r="F167" s="4" t="str">
        <f t="shared" ref="F167:H167" si="2">F8</f>
        <v>Spain</v>
      </c>
      <c r="H167" s="4" t="str">
        <f t="shared" si="2"/>
        <v>Spanien</v>
      </c>
    </row>
    <row r="168" spans="1:8" hidden="1">
      <c r="A168"/>
      <c r="B168" s="67" t="str">
        <f>IF(Groepsloting!$C$200=1,Groepsloting!D168,IF(Groepsloting!$C$200=2,IF(ISBLANK(Groepsloting!F168),Groepsloting!D168,Groepsloting!F168),IF(Groepsloting!$C$200=3,IF(ISBLANK(Groepsloting!H168),Groepsloting!D168,Groepsloting!H168),Groepsloting!D168)))</f>
        <v>Kroatië</v>
      </c>
      <c r="D168" s="4" t="str">
        <f>D9</f>
        <v>Kroatië</v>
      </c>
      <c r="F168" s="4" t="str">
        <f t="shared" ref="F168:H168" si="3">F9</f>
        <v>Croatia</v>
      </c>
      <c r="H168" s="4" t="str">
        <f t="shared" si="3"/>
        <v>Kroatien</v>
      </c>
    </row>
    <row r="169" spans="1:8" hidden="1">
      <c r="A169"/>
      <c r="B169" s="67" t="str">
        <f>IF(Groepsloting!$C$200=1,Groepsloting!D169,IF(Groepsloting!$C$200=2,IF(ISBLANK(Groepsloting!F169),Groepsloting!D169,Groepsloting!F169),IF(Groepsloting!$C$200=3,IF(ISBLANK(Groepsloting!H169),Groepsloting!D169,Groepsloting!H169),Groepsloting!D169)))</f>
        <v>Italië</v>
      </c>
      <c r="D169" s="4" t="str">
        <f>D10</f>
        <v>Italië</v>
      </c>
      <c r="F169" s="4" t="str">
        <f t="shared" ref="F169:H169" si="4">F10</f>
        <v>Italy</v>
      </c>
      <c r="H169" s="4" t="str">
        <f t="shared" si="4"/>
        <v>Italien</v>
      </c>
    </row>
    <row r="170" spans="1:8" hidden="1">
      <c r="A170"/>
      <c r="B170" s="67" t="str">
        <f>IF(Groepsloting!$C$200=1,Groepsloting!D170,IF(Groepsloting!$C$200=2,IF(ISBLANK(Groepsloting!F170),Groepsloting!D170,Groepsloting!F170),IF(Groepsloting!$C$200=3,IF(ISBLANK(Groepsloting!H170),Groepsloting!D170,Groepsloting!H170),Groepsloting!D170)))</f>
        <v>Albanië</v>
      </c>
      <c r="D170" s="4" t="str">
        <f>D11</f>
        <v>Albanië</v>
      </c>
      <c r="F170" s="4" t="str">
        <f t="shared" ref="F170:H170" si="5">F11</f>
        <v>Albania</v>
      </c>
      <c r="H170" s="4" t="str">
        <f t="shared" si="5"/>
        <v>Albanien</v>
      </c>
    </row>
    <row r="171" spans="1:8" hidden="1">
      <c r="A171"/>
      <c r="B171" s="67" t="str">
        <f>IF(Groepsloting!$C$200=1,Groepsloting!D171,IF(Groepsloting!$C$200=2,IF(ISBLANK(Groepsloting!F171),Groepsloting!D171,Groepsloting!F171),IF(Groepsloting!$C$200=3,IF(ISBLANK(Groepsloting!H171),Groepsloting!D171,Groepsloting!H171),Groepsloting!D171)))</f>
        <v>Slovenië</v>
      </c>
      <c r="D171" s="4" t="str">
        <f>D14</f>
        <v>Slovenië</v>
      </c>
      <c r="F171" s="4" t="str">
        <f t="shared" ref="F171:H171" si="6">F14</f>
        <v>Slovania</v>
      </c>
      <c r="H171" s="4" t="str">
        <f t="shared" si="6"/>
        <v>Slowenien</v>
      </c>
    </row>
    <row r="172" spans="1:8" hidden="1">
      <c r="A172"/>
      <c r="B172" s="67" t="str">
        <f>IF(Groepsloting!$C$200=1,Groepsloting!D172,IF(Groepsloting!$C$200=2,IF(ISBLANK(Groepsloting!F172),Groepsloting!D172,Groepsloting!F172),IF(Groepsloting!$C$200=3,IF(ISBLANK(Groepsloting!H172),Groepsloting!D172,Groepsloting!H172),Groepsloting!D172)))</f>
        <v>Denemarken</v>
      </c>
      <c r="D172" s="4" t="str">
        <f>D15</f>
        <v>Denemarken</v>
      </c>
      <c r="F172" s="4" t="str">
        <f t="shared" ref="F172:H172" si="7">F15</f>
        <v>Denmark</v>
      </c>
      <c r="H172" s="4" t="str">
        <f t="shared" si="7"/>
        <v>Dänemark</v>
      </c>
    </row>
    <row r="173" spans="1:8" hidden="1">
      <c r="A173"/>
      <c r="B173" s="67" t="str">
        <f>IF(Groepsloting!$C$200=1,Groepsloting!D173,IF(Groepsloting!$C$200=2,IF(ISBLANK(Groepsloting!F173),Groepsloting!D173,Groepsloting!F173),IF(Groepsloting!$C$200=3,IF(ISBLANK(Groepsloting!H173),Groepsloting!D173,Groepsloting!H173),Groepsloting!D173)))</f>
        <v>Servië</v>
      </c>
      <c r="D173" s="4" t="str">
        <f>D16</f>
        <v>Servië</v>
      </c>
      <c r="F173" s="4" t="str">
        <f t="shared" ref="F173:H173" si="8">F16</f>
        <v>Serbia</v>
      </c>
      <c r="H173" s="4" t="str">
        <f t="shared" si="8"/>
        <v>Serbien</v>
      </c>
    </row>
    <row r="174" spans="1:8" hidden="1">
      <c r="A174"/>
      <c r="B174" s="67" t="str">
        <f>IF(Groepsloting!$C$200=1,Groepsloting!D174,IF(Groepsloting!$C$200=2,IF(ISBLANK(Groepsloting!F174),Groepsloting!D174,Groepsloting!F174),IF(Groepsloting!$C$200=3,IF(ISBLANK(Groepsloting!H174),Groepsloting!D174,Groepsloting!H174),Groepsloting!D174)))</f>
        <v>Engeland</v>
      </c>
      <c r="D174" s="4" t="str">
        <f>D17</f>
        <v>Engeland</v>
      </c>
      <c r="F174" s="4" t="str">
        <f t="shared" ref="F174:H174" si="9">F17</f>
        <v>Engeland</v>
      </c>
      <c r="H174" s="4" t="str">
        <f t="shared" si="9"/>
        <v>England</v>
      </c>
    </row>
    <row r="175" spans="1:8" hidden="1">
      <c r="A175"/>
      <c r="B175" s="67" t="str">
        <f>IF(Groepsloting!$C$200=1,Groepsloting!D175,IF(Groepsloting!$C$200=2,IF(ISBLANK(Groepsloting!F175),Groepsloting!D175,Groepsloting!F175),IF(Groepsloting!$C$200=3,IF(ISBLANK(Groepsloting!H175),Groepsloting!D175,Groepsloting!H175),Groepsloting!D175)))</f>
        <v>Polen</v>
      </c>
      <c r="D175" s="4" t="str">
        <f>D20</f>
        <v>Polen</v>
      </c>
      <c r="F175" s="4" t="str">
        <f t="shared" ref="F175:H175" si="10">F20</f>
        <v>Poland</v>
      </c>
      <c r="H175" s="4" t="str">
        <f t="shared" si="10"/>
        <v>Polen</v>
      </c>
    </row>
    <row r="176" spans="1:8" hidden="1">
      <c r="A176"/>
      <c r="B176" s="67" t="str">
        <f>IF(Groepsloting!$C$200=1,Groepsloting!D176,IF(Groepsloting!$C$200=2,IF(ISBLANK(Groepsloting!F176),Groepsloting!D176,Groepsloting!F176),IF(Groepsloting!$C$200=3,IF(ISBLANK(Groepsloting!H176),Groepsloting!D176,Groepsloting!H176),Groepsloting!D176)))</f>
        <v>Nederland</v>
      </c>
      <c r="D176" s="4" t="str">
        <f>D21</f>
        <v>Nederland</v>
      </c>
      <c r="F176" s="4" t="str">
        <f t="shared" ref="F176:H176" si="11">F21</f>
        <v>Netherlands</v>
      </c>
      <c r="H176" s="4" t="str">
        <f t="shared" si="11"/>
        <v>Niederlande</v>
      </c>
    </row>
    <row r="177" spans="1:8" hidden="1">
      <c r="A177"/>
      <c r="B177" s="67" t="str">
        <f>IF(Groepsloting!$C$200=1,Groepsloting!D177,IF(Groepsloting!$C$200=2,IF(ISBLANK(Groepsloting!F177),Groepsloting!D177,Groepsloting!F177),IF(Groepsloting!$C$200=3,IF(ISBLANK(Groepsloting!H177),Groepsloting!D177,Groepsloting!H177),Groepsloting!D177)))</f>
        <v>Oostenrijk</v>
      </c>
      <c r="D177" s="4" t="str">
        <f>D22</f>
        <v>Oostenrijk</v>
      </c>
      <c r="F177" s="4" t="str">
        <f t="shared" ref="F177:H177" si="12">F22</f>
        <v>Austria</v>
      </c>
      <c r="H177" s="4" t="str">
        <f t="shared" si="12"/>
        <v>Österreich</v>
      </c>
    </row>
    <row r="178" spans="1:8" hidden="1">
      <c r="A178"/>
      <c r="B178" s="67" t="str">
        <f>IF(Groepsloting!$C$200=1,Groepsloting!D178,IF(Groepsloting!$C$200=2,IF(ISBLANK(Groepsloting!F178),Groepsloting!D178,Groepsloting!F178),IF(Groepsloting!$C$200=3,IF(ISBLANK(Groepsloting!H178),Groepsloting!D178,Groepsloting!H178),Groepsloting!D178)))</f>
        <v>Frankrijk</v>
      </c>
      <c r="D178" s="4" t="str">
        <f>D23</f>
        <v>Frankrijk</v>
      </c>
      <c r="F178" s="4" t="str">
        <f t="shared" ref="F178:H178" si="13">F23</f>
        <v>France</v>
      </c>
      <c r="H178" s="4" t="str">
        <f t="shared" si="13"/>
        <v>Frankreich</v>
      </c>
    </row>
    <row r="179" spans="1:8" hidden="1">
      <c r="A179"/>
      <c r="B179" s="67" t="str">
        <f>IF(Groepsloting!$C$200=1,Groepsloting!D179,IF(Groepsloting!$C$200=2,IF(ISBLANK(Groepsloting!F179),Groepsloting!D179,Groepsloting!F179),IF(Groepsloting!$C$200=3,IF(ISBLANK(Groepsloting!H179),Groepsloting!D179,Groepsloting!H179),Groepsloting!D179)))</f>
        <v>België</v>
      </c>
      <c r="D179" s="4" t="str">
        <f>D26</f>
        <v>België</v>
      </c>
      <c r="F179" s="4" t="str">
        <f t="shared" ref="F179:H179" si="14">F26</f>
        <v>Belgium</v>
      </c>
      <c r="H179" s="4" t="str">
        <f t="shared" si="14"/>
        <v>Belgien</v>
      </c>
    </row>
    <row r="180" spans="1:8" hidden="1">
      <c r="A180"/>
      <c r="B180" s="67" t="str">
        <f>IF(Groepsloting!$C$200=1,Groepsloting!D180,IF(Groepsloting!$C$200=2,IF(ISBLANK(Groepsloting!F180),Groepsloting!D180,Groepsloting!F180),IF(Groepsloting!$C$200=3,IF(ISBLANK(Groepsloting!H180),Groepsloting!D180,Groepsloting!H180),Groepsloting!D180)))</f>
        <v>Slowakije</v>
      </c>
      <c r="D180" s="4" t="str">
        <f>D27</f>
        <v>Slowakije</v>
      </c>
      <c r="F180" s="4" t="str">
        <f t="shared" ref="F180:H180" si="15">F27</f>
        <v>Slovakia</v>
      </c>
      <c r="H180" s="4" t="str">
        <f t="shared" si="15"/>
        <v>Slowakei</v>
      </c>
    </row>
    <row r="181" spans="1:8" hidden="1">
      <c r="A181"/>
      <c r="B181" s="67" t="str">
        <f>IF(Groepsloting!$C$200=1,Groepsloting!D181,IF(Groepsloting!$C$200=2,IF(ISBLANK(Groepsloting!F181),Groepsloting!D181,Groepsloting!F181),IF(Groepsloting!$C$200=3,IF(ISBLANK(Groepsloting!H181),Groepsloting!D181,Groepsloting!H181),Groepsloting!D181)))</f>
        <v>Roemenië</v>
      </c>
      <c r="D181" s="4" t="str">
        <f>D28</f>
        <v>Roemenië</v>
      </c>
      <c r="F181" s="4" t="str">
        <f t="shared" ref="F181:H181" si="16">F28</f>
        <v>Romania</v>
      </c>
      <c r="H181" s="4" t="str">
        <f t="shared" si="16"/>
        <v>Rumänien</v>
      </c>
    </row>
    <row r="182" spans="1:8" hidden="1">
      <c r="A182"/>
      <c r="B182" s="67" t="str">
        <f>IF(Groepsloting!$C$200=1,Groepsloting!D182,IF(Groepsloting!$C$200=2,IF(ISBLANK(Groepsloting!F182),Groepsloting!D182,Groepsloting!F182),IF(Groepsloting!$C$200=3,IF(ISBLANK(Groepsloting!H182),Groepsloting!D182,Groepsloting!H182),Groepsloting!D182)))</f>
        <v>Oekraïne</v>
      </c>
      <c r="D182" s="4" t="str">
        <f>D29</f>
        <v>Oekraïne</v>
      </c>
      <c r="F182" s="4" t="str">
        <f t="shared" ref="F182:H182" si="17">F29</f>
        <v>Ukraine</v>
      </c>
      <c r="H182" s="4" t="str">
        <f t="shared" si="17"/>
        <v>Ukraine</v>
      </c>
    </row>
    <row r="183" spans="1:8" hidden="1">
      <c r="A183"/>
      <c r="B183" s="67" t="str">
        <f>IF(Groepsloting!$C$200=1,Groepsloting!D183,IF(Groepsloting!$C$200=2,IF(ISBLANK(Groepsloting!F183),Groepsloting!D183,Groepsloting!F183),IF(Groepsloting!$C$200=3,IF(ISBLANK(Groepsloting!H183),Groepsloting!D183,Groepsloting!H183),Groepsloting!D183)))</f>
        <v>Turkije</v>
      </c>
      <c r="D183" s="4" t="str">
        <f>D32</f>
        <v>Turkije</v>
      </c>
      <c r="F183" s="4" t="str">
        <f t="shared" ref="F183:H183" si="18">F32</f>
        <v>Turkey</v>
      </c>
      <c r="H183" s="4" t="str">
        <f t="shared" si="18"/>
        <v>Türkei</v>
      </c>
    </row>
    <row r="184" spans="1:8" hidden="1">
      <c r="A184"/>
      <c r="B184" s="67" t="str">
        <f>IF(Groepsloting!$C$200=1,Groepsloting!D184,IF(Groepsloting!$C$200=2,IF(ISBLANK(Groepsloting!F184),Groepsloting!D184,Groepsloting!F184),IF(Groepsloting!$C$200=3,IF(ISBLANK(Groepsloting!H184),Groepsloting!D184,Groepsloting!H184),Groepsloting!D184)))</f>
        <v>Georgië</v>
      </c>
      <c r="D184" s="4" t="str">
        <f>D33</f>
        <v>Georgië</v>
      </c>
      <c r="F184" s="4" t="str">
        <f t="shared" ref="F184:H184" si="19">F33</f>
        <v>Georgia</v>
      </c>
      <c r="H184" s="4" t="str">
        <f t="shared" si="19"/>
        <v>Georgien</v>
      </c>
    </row>
    <row r="185" spans="1:8" hidden="1">
      <c r="A185"/>
      <c r="B185" s="67" t="str">
        <f>IF(Groepsloting!$C$200=1,Groepsloting!D185,IF(Groepsloting!$C$200=2,IF(ISBLANK(Groepsloting!F185),Groepsloting!D185,Groepsloting!F185),IF(Groepsloting!$C$200=3,IF(ISBLANK(Groepsloting!H185),Groepsloting!D185,Groepsloting!H185),Groepsloting!D185)))</f>
        <v>Portugal</v>
      </c>
      <c r="D185" s="4" t="str">
        <f>D34</f>
        <v>Portugal</v>
      </c>
      <c r="F185" s="4" t="str">
        <f t="shared" ref="F185:H185" si="20">F34</f>
        <v>Portugal</v>
      </c>
      <c r="H185" s="4" t="str">
        <f t="shared" si="20"/>
        <v>Portugal</v>
      </c>
    </row>
    <row r="186" spans="1:8" hidden="1">
      <c r="A186"/>
      <c r="B186" s="67" t="str">
        <f>IF(Groepsloting!$C$200=1,Groepsloting!D186,IF(Groepsloting!$C$200=2,IF(ISBLANK(Groepsloting!F186),Groepsloting!D186,Groepsloting!F186),IF(Groepsloting!$C$200=3,IF(ISBLANK(Groepsloting!H186),Groepsloting!D186,Groepsloting!H186),Groepsloting!D186)))</f>
        <v>Tsjechië</v>
      </c>
      <c r="D186" s="4" t="str">
        <f>D35</f>
        <v>Tsjechië</v>
      </c>
      <c r="F186" s="4" t="str">
        <f t="shared" ref="F186:H186" si="21">F35</f>
        <v>Czech Republic</v>
      </c>
      <c r="H186" s="4" t="str">
        <f t="shared" si="21"/>
        <v>Tschechien</v>
      </c>
    </row>
    <row r="187" spans="1:8" hidden="1">
      <c r="A187"/>
      <c r="B187" s="67"/>
    </row>
    <row r="188" spans="1:8" hidden="1">
      <c r="A188"/>
      <c r="B188" s="67"/>
    </row>
    <row r="189" spans="1:8" hidden="1">
      <c r="A189"/>
      <c r="B189" s="67"/>
    </row>
    <row r="190" spans="1:8" hidden="1">
      <c r="A190"/>
      <c r="B190" s="67"/>
      <c r="F190" s="65"/>
    </row>
    <row r="191" spans="1:8" hidden="1">
      <c r="A191"/>
      <c r="B191" s="67"/>
    </row>
    <row r="192" spans="1:8" hidden="1">
      <c r="A192"/>
      <c r="B192" s="67"/>
      <c r="H192" s="65"/>
    </row>
    <row r="193" spans="1:8" hidden="1">
      <c r="A193"/>
      <c r="B193" s="67"/>
    </row>
    <row r="194" spans="1:8" hidden="1">
      <c r="A194"/>
      <c r="B194" s="67"/>
    </row>
    <row r="195" spans="1:8" hidden="1">
      <c r="A195"/>
      <c r="B195" s="67"/>
    </row>
    <row r="196" spans="1:8" hidden="1">
      <c r="A196"/>
      <c r="B196" s="67" t="str">
        <f>IF(Groepsloting!$C$200=1,Groepsloting!D196,IF(Groepsloting!$C$200=2,IF(ISBLANK(Groepsloting!F196),Groepsloting!D196,Groepsloting!F196),IF(Groepsloting!$C$200=3,IF(ISBLANK(Groepsloting!H196),Groepsloting!D196,Groepsloting!H196),Groepsloting!D196)))</f>
        <v>Nederlands</v>
      </c>
      <c r="D196" s="65" t="s">
        <v>187</v>
      </c>
      <c r="E196" s="4">
        <v>2</v>
      </c>
      <c r="F196" s="65" t="s">
        <v>188</v>
      </c>
      <c r="G196" s="4">
        <v>3</v>
      </c>
      <c r="H196" s="65" t="s">
        <v>189</v>
      </c>
    </row>
    <row r="197" spans="1:8" hidden="1">
      <c r="A197"/>
      <c r="B197" s="67"/>
    </row>
    <row r="198" spans="1:8" hidden="1">
      <c r="A198"/>
      <c r="B198" s="67" t="str">
        <f>IF(Groepsloting!$C$200=1,Groepsloting!D198,IF(Groepsloting!$C$200=2,IF(ISBLANK(Groepsloting!F198),Groepsloting!D198,Groepsloting!F198),IF(Groepsloting!$C$200=3,IF(ISBLANK(Groepsloting!H198),Groepsloting!D198,Groepsloting!H198),Groepsloting!D198)))</f>
        <v>Taal:</v>
      </c>
      <c r="D198" s="4" t="s">
        <v>191</v>
      </c>
      <c r="F198" s="4" t="s">
        <v>190</v>
      </c>
      <c r="H198" s="4" t="s">
        <v>192</v>
      </c>
    </row>
    <row r="199" spans="1:8" hidden="1">
      <c r="B199" s="4" t="s">
        <v>259</v>
      </c>
    </row>
    <row r="200" spans="1:8" ht="14.25" hidden="1">
      <c r="A200"/>
      <c r="B200" s="4" t="str">
        <f>Inschrijving!O3</f>
        <v>Nederlands</v>
      </c>
      <c r="C200" s="75">
        <f>IF(Samenvatting!H1="",IF(B200=D200,1,IF(B200=D201,2,(IF(B200=D202,3,1)))),Samenvatting!H1)</f>
        <v>1</v>
      </c>
      <c r="D200" s="4" t="s">
        <v>187</v>
      </c>
      <c r="E200"/>
      <c r="F200"/>
      <c r="G200"/>
      <c r="H200"/>
    </row>
    <row r="201" spans="1:8" hidden="1">
      <c r="A201"/>
      <c r="D201" s="4" t="s">
        <v>188</v>
      </c>
      <c r="E201"/>
      <c r="F201"/>
      <c r="G201"/>
      <c r="H201"/>
    </row>
    <row r="202" spans="1:8" hidden="1">
      <c r="A202"/>
      <c r="D202" s="4" t="s">
        <v>189</v>
      </c>
      <c r="E202"/>
      <c r="F202"/>
      <c r="G202"/>
      <c r="H202"/>
    </row>
    <row r="203" spans="1:8" hidden="1">
      <c r="B203" s="12" t="s">
        <v>258</v>
      </c>
    </row>
    <row r="204" spans="1:8" hidden="1">
      <c r="B204" s="4">
        <v>0</v>
      </c>
    </row>
    <row r="205" spans="1:8" hidden="1">
      <c r="B205" s="4">
        <v>1</v>
      </c>
    </row>
    <row r="206" spans="1:8" hidden="1">
      <c r="B206" s="4">
        <v>2</v>
      </c>
    </row>
    <row r="207" spans="1:8" hidden="1">
      <c r="B207" s="4">
        <v>3</v>
      </c>
    </row>
    <row r="208" spans="1:8" hidden="1">
      <c r="B208" s="4">
        <v>4</v>
      </c>
    </row>
    <row r="209" spans="2:3" hidden="1">
      <c r="B209" s="4">
        <v>5</v>
      </c>
    </row>
    <row r="210" spans="2:3" hidden="1">
      <c r="B210" s="4">
        <v>6</v>
      </c>
    </row>
    <row r="211" spans="2:3" hidden="1">
      <c r="B211" s="4">
        <v>7</v>
      </c>
    </row>
    <row r="212" spans="2:3" hidden="1">
      <c r="B212" s="4">
        <v>8</v>
      </c>
    </row>
    <row r="213" spans="2:3" hidden="1">
      <c r="B213" s="4">
        <v>9</v>
      </c>
    </row>
    <row r="214" spans="2:3" hidden="1">
      <c r="B214" s="4">
        <v>10</v>
      </c>
    </row>
    <row r="215" spans="2:3" hidden="1">
      <c r="B215" s="4">
        <v>11</v>
      </c>
    </row>
    <row r="216" spans="2:3" hidden="1">
      <c r="B216" s="4">
        <v>12</v>
      </c>
    </row>
    <row r="217" spans="2:3" hidden="1">
      <c r="B217" s="4">
        <v>13</v>
      </c>
    </row>
    <row r="218" spans="2:3" hidden="1">
      <c r="B218" s="4">
        <v>14</v>
      </c>
    </row>
    <row r="219" spans="2:3" hidden="1">
      <c r="B219" s="4">
        <v>15</v>
      </c>
    </row>
    <row r="221" spans="2:3" hidden="1">
      <c r="B221" s="12" t="s">
        <v>484</v>
      </c>
    </row>
    <row r="222" spans="2:3" hidden="1">
      <c r="B222" t="s">
        <v>507</v>
      </c>
      <c r="C222" s="4" t="s">
        <v>510</v>
      </c>
    </row>
    <row r="223" spans="2:3" hidden="1">
      <c r="B223" t="s">
        <v>508</v>
      </c>
      <c r="C223" s="4" t="s">
        <v>510</v>
      </c>
    </row>
    <row r="224" spans="2:3" hidden="1">
      <c r="B224" t="s">
        <v>509</v>
      </c>
      <c r="C224" s="4" t="s">
        <v>510</v>
      </c>
    </row>
    <row r="225" spans="2:3" hidden="1">
      <c r="B225" t="s">
        <v>471</v>
      </c>
      <c r="C225" s="4" t="s">
        <v>511</v>
      </c>
    </row>
    <row r="226" spans="2:3" hidden="1">
      <c r="B226" t="s">
        <v>472</v>
      </c>
      <c r="C226" s="4" t="s">
        <v>511</v>
      </c>
    </row>
    <row r="227" spans="2:3" ht="12.95" hidden="1" customHeight="1">
      <c r="B227" t="s">
        <v>474</v>
      </c>
      <c r="C227" s="4" t="s">
        <v>511</v>
      </c>
    </row>
    <row r="228" spans="2:3" hidden="1">
      <c r="B228" t="s">
        <v>475</v>
      </c>
      <c r="C228" s="4" t="s">
        <v>511</v>
      </c>
    </row>
    <row r="229" spans="2:3" hidden="1">
      <c r="B229" t="s">
        <v>473</v>
      </c>
      <c r="C229" s="4" t="s">
        <v>511</v>
      </c>
    </row>
    <row r="230" spans="2:3" hidden="1">
      <c r="B230" t="s">
        <v>512</v>
      </c>
      <c r="C230" s="4" t="s">
        <v>511</v>
      </c>
    </row>
    <row r="231" spans="2:3" hidden="1">
      <c r="B231" t="s">
        <v>513</v>
      </c>
      <c r="C231" s="4" t="s">
        <v>511</v>
      </c>
    </row>
    <row r="232" spans="2:3" hidden="1">
      <c r="B232" t="s">
        <v>514</v>
      </c>
      <c r="C232" s="4" t="s">
        <v>511</v>
      </c>
    </row>
    <row r="233" spans="2:3" hidden="1">
      <c r="B233" s="4" t="s">
        <v>526</v>
      </c>
      <c r="C233" s="4" t="s">
        <v>511</v>
      </c>
    </row>
    <row r="234" spans="2:3" hidden="1">
      <c r="B234" t="s">
        <v>477</v>
      </c>
      <c r="C234" s="4" t="s">
        <v>516</v>
      </c>
    </row>
    <row r="235" spans="2:3" hidden="1">
      <c r="B235" t="s">
        <v>476</v>
      </c>
      <c r="C235" s="4" t="s">
        <v>516</v>
      </c>
    </row>
    <row r="236" spans="2:3" hidden="1">
      <c r="B236" t="s">
        <v>478</v>
      </c>
      <c r="C236" s="4" t="s">
        <v>516</v>
      </c>
    </row>
    <row r="237" spans="2:3" hidden="1">
      <c r="B237" t="s">
        <v>515</v>
      </c>
      <c r="C237" s="4" t="s">
        <v>516</v>
      </c>
    </row>
    <row r="238" spans="2:3" hidden="1">
      <c r="B238" t="s">
        <v>517</v>
      </c>
      <c r="C238" s="4" t="s">
        <v>516</v>
      </c>
    </row>
    <row r="239" spans="2:3" hidden="1">
      <c r="B239" t="s">
        <v>518</v>
      </c>
      <c r="C239" s="4" t="s">
        <v>516</v>
      </c>
    </row>
    <row r="240" spans="2:3" hidden="1">
      <c r="B240" t="s">
        <v>519</v>
      </c>
      <c r="C240" s="4" t="s">
        <v>516</v>
      </c>
    </row>
    <row r="241" spans="2:6" hidden="1">
      <c r="B241" t="s">
        <v>479</v>
      </c>
      <c r="C241" s="4" t="s">
        <v>516</v>
      </c>
      <c r="F241"/>
    </row>
    <row r="242" spans="2:6" hidden="1">
      <c r="B242" t="s">
        <v>520</v>
      </c>
      <c r="C242" s="4" t="s">
        <v>522</v>
      </c>
      <c r="F242"/>
    </row>
    <row r="243" spans="2:6" hidden="1">
      <c r="B243" t="s">
        <v>521</v>
      </c>
      <c r="C243" s="4" t="s">
        <v>522</v>
      </c>
      <c r="F243"/>
    </row>
    <row r="244" spans="2:6" hidden="1">
      <c r="B244" t="s">
        <v>480</v>
      </c>
      <c r="C244" s="4" t="s">
        <v>522</v>
      </c>
      <c r="F244"/>
    </row>
    <row r="245" spans="2:6" hidden="1">
      <c r="B245" t="s">
        <v>481</v>
      </c>
      <c r="C245" s="4" t="s">
        <v>522</v>
      </c>
      <c r="F245"/>
    </row>
    <row r="246" spans="2:6" hidden="1">
      <c r="B246" t="s">
        <v>482</v>
      </c>
      <c r="C246" s="4" t="s">
        <v>522</v>
      </c>
      <c r="F246"/>
    </row>
    <row r="247" spans="2:6" hidden="1">
      <c r="B247" t="s">
        <v>483</v>
      </c>
      <c r="C247" s="4" t="s">
        <v>522</v>
      </c>
      <c r="F247"/>
    </row>
    <row r="248" spans="2:6" hidden="1">
      <c r="B248"/>
      <c r="F248"/>
    </row>
    <row r="249" spans="2:6" hidden="1">
      <c r="B249"/>
      <c r="F249"/>
    </row>
    <row r="250" spans="2:6" hidden="1">
      <c r="B250"/>
      <c r="F250"/>
    </row>
    <row r="251" spans="2:6" hidden="1">
      <c r="B251"/>
      <c r="F251"/>
    </row>
    <row r="252" spans="2:6" hidden="1">
      <c r="B252"/>
      <c r="F252"/>
    </row>
    <row r="253" spans="2:6" hidden="1">
      <c r="B253"/>
      <c r="F253"/>
    </row>
    <row r="254" spans="2:6" hidden="1">
      <c r="B254"/>
      <c r="F254"/>
    </row>
    <row r="255" spans="2:6" hidden="1">
      <c r="B255"/>
      <c r="F255"/>
    </row>
    <row r="256" spans="2:6" hidden="1">
      <c r="B256"/>
      <c r="F256"/>
    </row>
    <row r="257" spans="2:2" hidden="1">
      <c r="B257"/>
    </row>
    <row r="258" spans="2:2" hidden="1">
      <c r="B258"/>
    </row>
    <row r="259" spans="2:2" hidden="1">
      <c r="B259"/>
    </row>
    <row r="260" spans="2:2">
      <c r="B260"/>
    </row>
    <row r="261" spans="2:2" hidden="1">
      <c r="B261"/>
    </row>
    <row r="262" spans="2:2" hidden="1">
      <c r="B262"/>
    </row>
    <row r="263" spans="2:2" hidden="1">
      <c r="B263"/>
    </row>
    <row r="264" spans="2:2" hidden="1">
      <c r="B264"/>
    </row>
    <row r="265" spans="2:2" hidden="1">
      <c r="B265"/>
    </row>
    <row r="266" spans="2:2" hidden="1">
      <c r="B266"/>
    </row>
    <row r="267" spans="2:2" hidden="1">
      <c r="B267"/>
    </row>
    <row r="268" spans="2:2" hidden="1">
      <c r="B268"/>
    </row>
  </sheetData>
  <sheetProtection algorithmName="SHA-512" hashValue="iW6jETBB068F7b0U4UKbJ0J0Gm2q6DKn2YrqaGTje7rdikzgWvlus9oeNB1+IIc9q9qSL6aYU1PJWzHv4C6E7Q==" saltValue="NtOAqOBUYF55YJE8+FRovg==" spinCount="100000" sheet="1" selectLockedCells="1" selectUnlockedCells="1"/>
  <protectedRanges>
    <protectedRange sqref="C200" name="Bereik1_1_1"/>
  </protectedRanges>
  <sortState xmlns:xlrd2="http://schemas.microsoft.com/office/spreadsheetml/2017/richdata2" ref="D165:D196">
    <sortCondition ref="D165"/>
  </sortState>
  <phoneticPr fontId="10" type="noConversion"/>
  <pageMargins left="0.75" right="0.75" top="1" bottom="1" header="0.5" footer="0.5"/>
  <pageSetup paperSize="9" scale="2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>
    <pageSetUpPr fitToPage="1"/>
  </sheetPr>
  <dimension ref="A1:M54"/>
  <sheetViews>
    <sheetView showGridLines="0" showRowColHeaders="0" zoomScaleNormal="100" zoomScaleSheetLayoutView="100" workbookViewId="0">
      <selection activeCell="A2" sqref="A2"/>
    </sheetView>
  </sheetViews>
  <sheetFormatPr defaultColWidth="0" defaultRowHeight="12.75" zeroHeight="1"/>
  <cols>
    <col min="1" max="1" width="3.85546875" style="4" customWidth="1"/>
    <col min="2" max="2" width="15.5703125" style="4" customWidth="1"/>
    <col min="3" max="7" width="11.42578125" style="4" customWidth="1"/>
    <col min="8" max="8" width="0" style="4" hidden="1" customWidth="1"/>
    <col min="9" max="13" width="4.140625" style="4" hidden="1" customWidth="1"/>
    <col min="14" max="16384" width="0" style="4" hidden="1"/>
  </cols>
  <sheetData>
    <row r="1" spans="1:13"/>
    <row r="2" spans="1:13" ht="24" customHeight="1">
      <c r="A2" s="1"/>
      <c r="B2" s="1" t="str">
        <f>Inschrijving!AA2</f>
        <v>Groep A</v>
      </c>
      <c r="C2" s="2" t="str">
        <f>Inschrijving!AB2</f>
        <v>wedstrijden</v>
      </c>
      <c r="D2" s="2" t="str">
        <f>Inschrijving!AC2</f>
        <v>punten</v>
      </c>
      <c r="E2" s="2" t="str">
        <f>Inschrijving!AD2</f>
        <v>voor</v>
      </c>
      <c r="F2" s="2" t="str">
        <f>Inschrijving!AE2</f>
        <v>tegen</v>
      </c>
      <c r="G2" s="2" t="str">
        <f>Inschrijving!AF2</f>
        <v>doelsaldo</v>
      </c>
      <c r="H2" s="3"/>
      <c r="I2" s="3"/>
      <c r="J2" s="3"/>
      <c r="K2" s="3"/>
      <c r="L2" s="3"/>
      <c r="M2" s="3"/>
    </row>
    <row r="3" spans="1:13">
      <c r="A3" s="5">
        <f>Inschrijving!Z3</f>
        <v>1</v>
      </c>
      <c r="B3" s="6" t="str">
        <f>Inschrijving!AA3</f>
        <v>Schotland</v>
      </c>
      <c r="C3" s="7">
        <f>Inschrijving!AB3</f>
        <v>0</v>
      </c>
      <c r="D3" s="7">
        <f>Inschrijving!AC3</f>
        <v>0</v>
      </c>
      <c r="E3" s="7">
        <f>Inschrijving!AD3</f>
        <v>0</v>
      </c>
      <c r="F3" s="7">
        <f>Inschrijving!AE3</f>
        <v>0</v>
      </c>
      <c r="G3" s="7">
        <f>Inschrijving!AF3</f>
        <v>0</v>
      </c>
      <c r="H3" s="8"/>
      <c r="I3" s="3"/>
      <c r="J3" s="3"/>
      <c r="K3" s="3"/>
      <c r="L3" s="3"/>
      <c r="M3" s="3"/>
    </row>
    <row r="4" spans="1:13">
      <c r="A4" s="5">
        <f>Inschrijving!Z4</f>
        <v>2</v>
      </c>
      <c r="B4" s="6" t="str">
        <f>Inschrijving!AA4</f>
        <v>Zwitserland</v>
      </c>
      <c r="C4" s="7">
        <f>Inschrijving!AB4</f>
        <v>0</v>
      </c>
      <c r="D4" s="7">
        <f>Inschrijving!AC4</f>
        <v>0</v>
      </c>
      <c r="E4" s="7">
        <f>Inschrijving!AD4</f>
        <v>0</v>
      </c>
      <c r="F4" s="7">
        <f>Inschrijving!AE4</f>
        <v>0</v>
      </c>
      <c r="G4" s="7">
        <f>Inschrijving!AF4</f>
        <v>0</v>
      </c>
      <c r="H4" s="8"/>
      <c r="I4" s="3"/>
      <c r="J4" s="3"/>
      <c r="K4" s="3"/>
      <c r="L4" s="3"/>
      <c r="M4" s="3"/>
    </row>
    <row r="5" spans="1:13">
      <c r="A5" s="5">
        <f>Inschrijving!Z5</f>
        <v>3</v>
      </c>
      <c r="B5" s="6" t="str">
        <f>Inschrijving!AA5</f>
        <v>Hongarije</v>
      </c>
      <c r="C5" s="7">
        <f>Inschrijving!AB5</f>
        <v>0</v>
      </c>
      <c r="D5" s="7">
        <f>Inschrijving!AC5</f>
        <v>0</v>
      </c>
      <c r="E5" s="7">
        <f>Inschrijving!AD5</f>
        <v>0</v>
      </c>
      <c r="F5" s="7">
        <f>Inschrijving!AE5</f>
        <v>0</v>
      </c>
      <c r="G5" s="7">
        <f>Inschrijving!AF5</f>
        <v>0</v>
      </c>
      <c r="H5" s="8"/>
      <c r="I5" s="3"/>
      <c r="J5" s="3"/>
      <c r="K5" s="3"/>
      <c r="L5" s="3"/>
      <c r="M5" s="3"/>
    </row>
    <row r="6" spans="1:13">
      <c r="A6" s="5">
        <f>Inschrijving!Z6</f>
        <v>4</v>
      </c>
      <c r="B6" s="6" t="str">
        <f>Inschrijving!AA6</f>
        <v>Duitsland</v>
      </c>
      <c r="C6" s="7">
        <f>Inschrijving!AB6</f>
        <v>0</v>
      </c>
      <c r="D6" s="7">
        <f>Inschrijving!AC6</f>
        <v>0</v>
      </c>
      <c r="E6" s="7">
        <f>Inschrijving!AD6</f>
        <v>0</v>
      </c>
      <c r="F6" s="7">
        <f>Inschrijving!AE6</f>
        <v>0</v>
      </c>
      <c r="G6" s="7">
        <f>Inschrijving!AF6</f>
        <v>0</v>
      </c>
      <c r="H6" s="8"/>
      <c r="I6" s="3"/>
      <c r="J6" s="3"/>
      <c r="K6" s="3"/>
      <c r="L6" s="3"/>
      <c r="M6" s="3"/>
    </row>
    <row r="7" spans="1:13">
      <c r="B7" s="9"/>
      <c r="C7" s="3"/>
      <c r="D7" s="10"/>
      <c r="E7" s="3"/>
      <c r="F7" s="3"/>
      <c r="G7" s="3"/>
      <c r="H7" s="3"/>
      <c r="I7" s="3"/>
      <c r="J7" s="3"/>
      <c r="K7" s="3"/>
      <c r="L7" s="3"/>
      <c r="M7" s="3"/>
    </row>
    <row r="8" spans="1:13" ht="24" customHeight="1">
      <c r="A8" s="1"/>
      <c r="B8" s="1" t="str">
        <f>Inschrijving!AA10</f>
        <v>Groep B</v>
      </c>
      <c r="C8" s="2" t="str">
        <f>Inschrijving!AB10</f>
        <v>wedstrijden</v>
      </c>
      <c r="D8" s="2" t="str">
        <f>Inschrijving!AC10</f>
        <v>punten</v>
      </c>
      <c r="E8" s="2" t="str">
        <f>Inschrijving!AD10</f>
        <v>voor</v>
      </c>
      <c r="F8" s="2" t="str">
        <f>Inschrijving!AE10</f>
        <v>tegen</v>
      </c>
      <c r="G8" s="2" t="str">
        <f>Inschrijving!AF10</f>
        <v>doelsaldo</v>
      </c>
      <c r="H8" s="3"/>
      <c r="I8" s="3"/>
      <c r="J8" s="3"/>
      <c r="K8" s="3"/>
      <c r="L8" s="3"/>
      <c r="M8" s="3"/>
    </row>
    <row r="9" spans="1:13">
      <c r="A9" s="5">
        <f>Inschrijving!Z11</f>
        <v>1</v>
      </c>
      <c r="B9" s="6" t="str">
        <f>Inschrijving!AA11</f>
        <v>Italië</v>
      </c>
      <c r="C9" s="7">
        <f>Inschrijving!AB11</f>
        <v>0</v>
      </c>
      <c r="D9" s="7">
        <f>Inschrijving!AC11</f>
        <v>0</v>
      </c>
      <c r="E9" s="7">
        <f>Inschrijving!AD11</f>
        <v>0</v>
      </c>
      <c r="F9" s="7">
        <f>Inschrijving!AE11</f>
        <v>0</v>
      </c>
      <c r="G9" s="7">
        <f>Inschrijving!AF11</f>
        <v>0</v>
      </c>
      <c r="H9" s="8"/>
      <c r="I9" s="3"/>
      <c r="J9" s="3"/>
      <c r="K9" s="3"/>
      <c r="L9" s="3"/>
      <c r="M9" s="3"/>
    </row>
    <row r="10" spans="1:13">
      <c r="A10" s="5">
        <f>Inschrijving!Z12</f>
        <v>2</v>
      </c>
      <c r="B10" s="6" t="str">
        <f>Inschrijving!AA12</f>
        <v>Spanje</v>
      </c>
      <c r="C10" s="7">
        <f>Inschrijving!AB12</f>
        <v>0</v>
      </c>
      <c r="D10" s="7">
        <f>Inschrijving!AC12</f>
        <v>0</v>
      </c>
      <c r="E10" s="7">
        <f>Inschrijving!AD12</f>
        <v>0</v>
      </c>
      <c r="F10" s="7">
        <f>Inschrijving!AE12</f>
        <v>0</v>
      </c>
      <c r="G10" s="7">
        <f>Inschrijving!AF12</f>
        <v>0</v>
      </c>
      <c r="H10" s="8"/>
      <c r="I10" s="3"/>
      <c r="J10" s="3"/>
      <c r="K10" s="3"/>
      <c r="L10" s="3"/>
      <c r="M10" s="3"/>
    </row>
    <row r="11" spans="1:13">
      <c r="A11" s="5">
        <f>Inschrijving!Z13</f>
        <v>3</v>
      </c>
      <c r="B11" s="6" t="str">
        <f>Inschrijving!AA13</f>
        <v>Albanië</v>
      </c>
      <c r="C11" s="7">
        <f>Inschrijving!AB13</f>
        <v>0</v>
      </c>
      <c r="D11" s="7">
        <f>Inschrijving!AC13</f>
        <v>0</v>
      </c>
      <c r="E11" s="7">
        <f>Inschrijving!AD13</f>
        <v>0</v>
      </c>
      <c r="F11" s="7">
        <f>Inschrijving!AE13</f>
        <v>0</v>
      </c>
      <c r="G11" s="7">
        <f>Inschrijving!AF13</f>
        <v>0</v>
      </c>
      <c r="H11" s="8"/>
      <c r="I11" s="3"/>
      <c r="J11" s="3"/>
      <c r="K11" s="3"/>
      <c r="L11" s="3"/>
      <c r="M11" s="3"/>
    </row>
    <row r="12" spans="1:13">
      <c r="A12" s="5">
        <f>Inschrijving!Z14</f>
        <v>4</v>
      </c>
      <c r="B12" s="6" t="str">
        <f>Inschrijving!AA14</f>
        <v>Kroatië</v>
      </c>
      <c r="C12" s="7">
        <f>Inschrijving!AB14</f>
        <v>0</v>
      </c>
      <c r="D12" s="7">
        <f>Inschrijving!AC14</f>
        <v>0</v>
      </c>
      <c r="E12" s="7">
        <f>Inschrijving!AD14</f>
        <v>0</v>
      </c>
      <c r="F12" s="7">
        <f>Inschrijving!AE14</f>
        <v>0</v>
      </c>
      <c r="G12" s="7">
        <f>Inschrijving!AF14</f>
        <v>0</v>
      </c>
      <c r="H12" s="8"/>
      <c r="I12" s="3"/>
      <c r="J12" s="3"/>
      <c r="K12" s="3"/>
      <c r="L12" s="3"/>
      <c r="M12" s="3"/>
    </row>
    <row r="13" spans="1:13">
      <c r="A13" s="3"/>
      <c r="B13" s="9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 ht="24" customHeight="1">
      <c r="A14" s="1"/>
      <c r="B14" s="1" t="str">
        <f>Inschrijving!AA18</f>
        <v>Groep C</v>
      </c>
      <c r="C14" s="2" t="str">
        <f>Inschrijving!AB18</f>
        <v>wedstrijden</v>
      </c>
      <c r="D14" s="2" t="str">
        <f>Inschrijving!AC18</f>
        <v>punten</v>
      </c>
      <c r="E14" s="2" t="str">
        <f>Inschrijving!AD18</f>
        <v>voor</v>
      </c>
      <c r="F14" s="2" t="str">
        <f>Inschrijving!AE18</f>
        <v>tegen</v>
      </c>
      <c r="G14" s="2" t="str">
        <f>Inschrijving!AF18</f>
        <v>doelsaldo</v>
      </c>
      <c r="H14" s="3"/>
      <c r="I14" s="3"/>
      <c r="J14" s="3"/>
      <c r="K14" s="3"/>
      <c r="L14" s="3"/>
      <c r="M14" s="3"/>
    </row>
    <row r="15" spans="1:13">
      <c r="A15" s="5">
        <f>Inschrijving!Z19</f>
        <v>1</v>
      </c>
      <c r="B15" s="6" t="str">
        <f>Inschrijving!AA19</f>
        <v>Servië</v>
      </c>
      <c r="C15" s="7">
        <f>Inschrijving!AB19</f>
        <v>0</v>
      </c>
      <c r="D15" s="7">
        <f>Inschrijving!AC19</f>
        <v>0</v>
      </c>
      <c r="E15" s="7">
        <f>Inschrijving!AD19</f>
        <v>0</v>
      </c>
      <c r="F15" s="7">
        <f>Inschrijving!AE19</f>
        <v>0</v>
      </c>
      <c r="G15" s="7">
        <f>Inschrijving!AF19</f>
        <v>0</v>
      </c>
      <c r="H15" s="8"/>
      <c r="I15" s="3"/>
      <c r="J15" s="3"/>
      <c r="K15" s="3"/>
      <c r="L15" s="3"/>
      <c r="M15" s="3"/>
    </row>
    <row r="16" spans="1:13">
      <c r="A16" s="5">
        <f>Inschrijving!Z20</f>
        <v>2</v>
      </c>
      <c r="B16" s="6" t="str">
        <f>Inschrijving!AA20</f>
        <v>Slovenië</v>
      </c>
      <c r="C16" s="7">
        <f>Inschrijving!AB20</f>
        <v>0</v>
      </c>
      <c r="D16" s="7">
        <f>Inschrijving!AC20</f>
        <v>0</v>
      </c>
      <c r="E16" s="7">
        <f>Inschrijving!AD20</f>
        <v>0</v>
      </c>
      <c r="F16" s="7">
        <f>Inschrijving!AE20</f>
        <v>0</v>
      </c>
      <c r="G16" s="7">
        <f>Inschrijving!AF20</f>
        <v>0</v>
      </c>
      <c r="H16" s="8"/>
      <c r="I16" s="3"/>
      <c r="J16" s="3"/>
      <c r="K16" s="3"/>
      <c r="L16" s="3"/>
      <c r="M16" s="3"/>
    </row>
    <row r="17" spans="1:13">
      <c r="A17" s="5">
        <f>Inschrijving!Z21</f>
        <v>3</v>
      </c>
      <c r="B17" s="6" t="str">
        <f>Inschrijving!AA21</f>
        <v>Engeland</v>
      </c>
      <c r="C17" s="7">
        <f>Inschrijving!AB21</f>
        <v>0</v>
      </c>
      <c r="D17" s="7">
        <f>Inschrijving!AC21</f>
        <v>0</v>
      </c>
      <c r="E17" s="7">
        <f>Inschrijving!AD21</f>
        <v>0</v>
      </c>
      <c r="F17" s="7">
        <f>Inschrijving!AE21</f>
        <v>0</v>
      </c>
      <c r="G17" s="7">
        <f>Inschrijving!AF21</f>
        <v>0</v>
      </c>
      <c r="H17" s="8"/>
      <c r="I17" s="3"/>
      <c r="J17" s="3"/>
      <c r="K17" s="3"/>
      <c r="L17" s="3"/>
      <c r="M17" s="3"/>
    </row>
    <row r="18" spans="1:13">
      <c r="A18" s="5">
        <f>Inschrijving!Z22</f>
        <v>4</v>
      </c>
      <c r="B18" s="6" t="str">
        <f>Inschrijving!AA22</f>
        <v>Denemarken</v>
      </c>
      <c r="C18" s="7">
        <f>Inschrijving!AB22</f>
        <v>0</v>
      </c>
      <c r="D18" s="7">
        <f>Inschrijving!AC22</f>
        <v>0</v>
      </c>
      <c r="E18" s="7">
        <f>Inschrijving!AD22</f>
        <v>0</v>
      </c>
      <c r="F18" s="7">
        <f>Inschrijving!AE22</f>
        <v>0</v>
      </c>
      <c r="G18" s="7">
        <f>Inschrijving!AF22</f>
        <v>0</v>
      </c>
      <c r="H18" s="8"/>
      <c r="I18" s="3"/>
      <c r="J18" s="3"/>
      <c r="K18" s="3"/>
      <c r="L18" s="3"/>
      <c r="M18" s="3"/>
    </row>
    <row r="19" spans="1:13">
      <c r="B19" s="9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 ht="24" customHeight="1">
      <c r="A20" s="1"/>
      <c r="B20" s="1" t="str">
        <f>Inschrijving!AA26</f>
        <v>Groep D</v>
      </c>
      <c r="C20" s="2" t="str">
        <f>Inschrijving!AB26</f>
        <v>wedstrijden</v>
      </c>
      <c r="D20" s="2" t="str">
        <f>Inschrijving!AC26</f>
        <v>punten</v>
      </c>
      <c r="E20" s="2" t="str">
        <f>Inschrijving!AD26</f>
        <v>voor</v>
      </c>
      <c r="F20" s="2" t="str">
        <f>Inschrijving!AE26</f>
        <v>tegen</v>
      </c>
      <c r="G20" s="2" t="str">
        <f>Inschrijving!AF26</f>
        <v>doelsaldo</v>
      </c>
      <c r="H20" s="3"/>
      <c r="I20" s="3"/>
      <c r="J20" s="3"/>
      <c r="K20" s="3"/>
      <c r="L20" s="3"/>
      <c r="M20" s="3"/>
    </row>
    <row r="21" spans="1:13">
      <c r="A21" s="5">
        <f>Inschrijving!Z27</f>
        <v>1</v>
      </c>
      <c r="B21" s="6" t="str">
        <f>Inschrijving!AA27</f>
        <v>Polen</v>
      </c>
      <c r="C21" s="7">
        <f>Inschrijving!AB27</f>
        <v>0</v>
      </c>
      <c r="D21" s="7">
        <f>Inschrijving!AC27</f>
        <v>0</v>
      </c>
      <c r="E21" s="7">
        <f>Inschrijving!AD27</f>
        <v>0</v>
      </c>
      <c r="F21" s="7">
        <f>Inschrijving!AE27</f>
        <v>0</v>
      </c>
      <c r="G21" s="7">
        <f>Inschrijving!AF27</f>
        <v>0</v>
      </c>
      <c r="H21" s="8"/>
      <c r="I21" s="3"/>
      <c r="J21" s="3"/>
      <c r="K21" s="3"/>
      <c r="L21" s="3"/>
      <c r="M21" s="3"/>
    </row>
    <row r="22" spans="1:13">
      <c r="A22" s="5">
        <f>Inschrijving!Z28</f>
        <v>2</v>
      </c>
      <c r="B22" s="6" t="str">
        <f>Inschrijving!AA28</f>
        <v>Nederland</v>
      </c>
      <c r="C22" s="7">
        <f>Inschrijving!AB28</f>
        <v>0</v>
      </c>
      <c r="D22" s="7">
        <f>Inschrijving!AC28</f>
        <v>0</v>
      </c>
      <c r="E22" s="7">
        <f>Inschrijving!AD28</f>
        <v>0</v>
      </c>
      <c r="F22" s="7">
        <f>Inschrijving!AE28</f>
        <v>0</v>
      </c>
      <c r="G22" s="7">
        <f>Inschrijving!AF28</f>
        <v>0</v>
      </c>
      <c r="H22" s="8"/>
      <c r="I22" s="3"/>
      <c r="J22" s="3"/>
      <c r="K22" s="3"/>
      <c r="L22" s="3"/>
      <c r="M22" s="3"/>
    </row>
    <row r="23" spans="1:13">
      <c r="A23" s="5">
        <f>Inschrijving!Z29</f>
        <v>3</v>
      </c>
      <c r="B23" s="6" t="str">
        <f>Inschrijving!AA29</f>
        <v>Frankrijk</v>
      </c>
      <c r="C23" s="7">
        <f>Inschrijving!AB29</f>
        <v>0</v>
      </c>
      <c r="D23" s="7">
        <f>Inschrijving!AC29</f>
        <v>0</v>
      </c>
      <c r="E23" s="7">
        <f>Inschrijving!AD29</f>
        <v>0</v>
      </c>
      <c r="F23" s="7">
        <f>Inschrijving!AE29</f>
        <v>0</v>
      </c>
      <c r="G23" s="7">
        <f>Inschrijving!AF29</f>
        <v>0</v>
      </c>
      <c r="H23" s="8"/>
      <c r="I23" s="3"/>
      <c r="J23" s="3"/>
      <c r="K23" s="3"/>
      <c r="L23" s="3"/>
      <c r="M23" s="3"/>
    </row>
    <row r="24" spans="1:13">
      <c r="A24" s="5">
        <f>Inschrijving!Z30</f>
        <v>4</v>
      </c>
      <c r="B24" s="6" t="str">
        <f>Inschrijving!AA30</f>
        <v>Oostenrijk</v>
      </c>
      <c r="C24" s="7">
        <f>Inschrijving!AB30</f>
        <v>0</v>
      </c>
      <c r="D24" s="7">
        <f>Inschrijving!AC30</f>
        <v>0</v>
      </c>
      <c r="E24" s="7">
        <f>Inschrijving!AD30</f>
        <v>0</v>
      </c>
      <c r="F24" s="7">
        <f>Inschrijving!AE30</f>
        <v>0</v>
      </c>
      <c r="G24" s="7">
        <f>Inschrijving!AF30</f>
        <v>0</v>
      </c>
      <c r="H24" s="8"/>
      <c r="I24" s="3"/>
      <c r="J24" s="3"/>
      <c r="K24" s="3"/>
      <c r="L24" s="3"/>
      <c r="M24" s="3"/>
    </row>
    <row r="25" spans="1:13">
      <c r="A25" s="3"/>
      <c r="B25" s="9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3" ht="24" customHeight="1">
      <c r="A26" s="1"/>
      <c r="B26" s="1" t="str">
        <f>Inschrijving!AA34</f>
        <v>Groep E</v>
      </c>
      <c r="C26" s="2" t="str">
        <f>Inschrijving!AB34</f>
        <v>wedstrijden</v>
      </c>
      <c r="D26" s="2" t="str">
        <f>Inschrijving!AC34</f>
        <v>punten</v>
      </c>
      <c r="E26" s="2" t="str">
        <f>Inschrijving!AD34</f>
        <v>voor</v>
      </c>
      <c r="F26" s="2" t="str">
        <f>Inschrijving!AE34</f>
        <v>tegen</v>
      </c>
      <c r="G26" s="2" t="str">
        <f>Inschrijving!AF34</f>
        <v>doelsaldo</v>
      </c>
      <c r="H26" s="3"/>
      <c r="I26" s="3"/>
      <c r="J26" s="3"/>
      <c r="K26" s="3"/>
      <c r="L26" s="3"/>
      <c r="M26" s="3"/>
    </row>
    <row r="27" spans="1:13">
      <c r="A27" s="5">
        <f>Inschrijving!Z35</f>
        <v>1</v>
      </c>
      <c r="B27" s="6" t="str">
        <f>Inschrijving!AA35</f>
        <v>Roemenië</v>
      </c>
      <c r="C27" s="7">
        <f>Inschrijving!AB35</f>
        <v>0</v>
      </c>
      <c r="D27" s="7">
        <f>Inschrijving!AC35</f>
        <v>0</v>
      </c>
      <c r="E27" s="7">
        <f>Inschrijving!AD35</f>
        <v>0</v>
      </c>
      <c r="F27" s="7">
        <f>Inschrijving!AE35</f>
        <v>0</v>
      </c>
      <c r="G27" s="7">
        <f>Inschrijving!AF35</f>
        <v>0</v>
      </c>
      <c r="H27" s="8"/>
      <c r="I27" s="3"/>
      <c r="J27" s="3"/>
      <c r="K27" s="3"/>
      <c r="L27" s="3"/>
      <c r="M27" s="3"/>
    </row>
    <row r="28" spans="1:13">
      <c r="A28" s="5">
        <f>Inschrijving!Z36</f>
        <v>2</v>
      </c>
      <c r="B28" s="6" t="str">
        <f>Inschrijving!AA36</f>
        <v>België</v>
      </c>
      <c r="C28" s="7">
        <f>Inschrijving!AB36</f>
        <v>0</v>
      </c>
      <c r="D28" s="7">
        <f>Inschrijving!AC36</f>
        <v>0</v>
      </c>
      <c r="E28" s="7">
        <f>Inschrijving!AD36</f>
        <v>0</v>
      </c>
      <c r="F28" s="7">
        <f>Inschrijving!AE36</f>
        <v>0</v>
      </c>
      <c r="G28" s="7">
        <f>Inschrijving!AF36</f>
        <v>0</v>
      </c>
      <c r="H28" s="8"/>
      <c r="I28" s="3"/>
      <c r="J28" s="3"/>
      <c r="K28" s="3"/>
      <c r="L28" s="3"/>
      <c r="M28" s="3"/>
    </row>
    <row r="29" spans="1:13">
      <c r="A29" s="5">
        <f>Inschrijving!Z37</f>
        <v>3</v>
      </c>
      <c r="B29" s="6" t="str">
        <f>Inschrijving!AA37</f>
        <v>Oekraïne</v>
      </c>
      <c r="C29" s="7">
        <f>Inschrijving!AB37</f>
        <v>0</v>
      </c>
      <c r="D29" s="7">
        <f>Inschrijving!AC37</f>
        <v>0</v>
      </c>
      <c r="E29" s="7">
        <f>Inschrijving!AD37</f>
        <v>0</v>
      </c>
      <c r="F29" s="7">
        <f>Inschrijving!AE37</f>
        <v>0</v>
      </c>
      <c r="G29" s="7">
        <f>Inschrijving!AF37</f>
        <v>0</v>
      </c>
      <c r="H29" s="8"/>
      <c r="I29" s="3"/>
      <c r="J29" s="3"/>
      <c r="K29" s="3"/>
      <c r="L29" s="3"/>
      <c r="M29" s="3"/>
    </row>
    <row r="30" spans="1:13">
      <c r="A30" s="5">
        <f>Inschrijving!Z38</f>
        <v>4</v>
      </c>
      <c r="B30" s="6" t="str">
        <f>Inschrijving!AA38</f>
        <v>Slowakije</v>
      </c>
      <c r="C30" s="7">
        <f>Inschrijving!AB38</f>
        <v>0</v>
      </c>
      <c r="D30" s="7">
        <f>Inschrijving!AC38</f>
        <v>0</v>
      </c>
      <c r="E30" s="7">
        <f>Inschrijving!AD38</f>
        <v>0</v>
      </c>
      <c r="F30" s="7">
        <f>Inschrijving!AE38</f>
        <v>0</v>
      </c>
      <c r="G30" s="7">
        <f>Inschrijving!AF38</f>
        <v>0</v>
      </c>
      <c r="H30" s="8"/>
      <c r="I30" s="3"/>
      <c r="J30" s="3"/>
      <c r="K30" s="3"/>
      <c r="L30" s="3"/>
      <c r="M30" s="3"/>
    </row>
    <row r="31" spans="1:13">
      <c r="B31" s="9"/>
      <c r="C31" s="3"/>
      <c r="D31" s="10"/>
      <c r="E31" s="3"/>
      <c r="F31" s="3"/>
      <c r="G31" s="3"/>
      <c r="H31" s="3"/>
      <c r="I31" s="3"/>
      <c r="J31" s="3"/>
      <c r="K31" s="3"/>
      <c r="L31" s="3"/>
      <c r="M31" s="3"/>
    </row>
    <row r="32" spans="1:13" ht="24" customHeight="1">
      <c r="A32" s="1"/>
      <c r="B32" s="1" t="str">
        <f>Inschrijving!AA42</f>
        <v>Groep F</v>
      </c>
      <c r="C32" s="2" t="str">
        <f>Inschrijving!AB42</f>
        <v>wedstrijden</v>
      </c>
      <c r="D32" s="2" t="str">
        <f>Inschrijving!AC42</f>
        <v>punten</v>
      </c>
      <c r="E32" s="2" t="str">
        <f>Inschrijving!AD42</f>
        <v>voor</v>
      </c>
      <c r="F32" s="2" t="str">
        <f>Inschrijving!AE42</f>
        <v>tegen</v>
      </c>
      <c r="G32" s="2" t="str">
        <f>Inschrijving!AF42</f>
        <v>doelsaldo</v>
      </c>
      <c r="H32" s="3"/>
      <c r="I32" s="3"/>
      <c r="J32" s="3"/>
      <c r="K32" s="3"/>
      <c r="L32" s="3"/>
      <c r="M32" s="3"/>
    </row>
    <row r="33" spans="1:13">
      <c r="A33" s="5">
        <f>Inschrijving!Z43</f>
        <v>1</v>
      </c>
      <c r="B33" s="6" t="str">
        <f>Inschrijving!AA43</f>
        <v>Portugal</v>
      </c>
      <c r="C33" s="7">
        <f>Inschrijving!AB43</f>
        <v>0</v>
      </c>
      <c r="D33" s="7">
        <f>Inschrijving!AC43</f>
        <v>0</v>
      </c>
      <c r="E33" s="7">
        <f>Inschrijving!AD43</f>
        <v>0</v>
      </c>
      <c r="F33" s="7">
        <f>Inschrijving!AE43</f>
        <v>0</v>
      </c>
      <c r="G33" s="7">
        <f>Inschrijving!AF43</f>
        <v>0</v>
      </c>
      <c r="H33" s="8"/>
      <c r="I33" s="3"/>
      <c r="J33" s="3"/>
      <c r="K33" s="3"/>
      <c r="L33" s="3"/>
      <c r="M33" s="3"/>
    </row>
    <row r="34" spans="1:13">
      <c r="A34" s="5">
        <f>Inschrijving!Z44</f>
        <v>2</v>
      </c>
      <c r="B34" s="6" t="str">
        <f>Inschrijving!AA44</f>
        <v>Georgië</v>
      </c>
      <c r="C34" s="7">
        <f>Inschrijving!AB44</f>
        <v>0</v>
      </c>
      <c r="D34" s="7">
        <f>Inschrijving!AC44</f>
        <v>0</v>
      </c>
      <c r="E34" s="7">
        <f>Inschrijving!AD44</f>
        <v>0</v>
      </c>
      <c r="F34" s="7">
        <f>Inschrijving!AE44</f>
        <v>0</v>
      </c>
      <c r="G34" s="7">
        <f>Inschrijving!AF44</f>
        <v>0</v>
      </c>
      <c r="H34" s="8"/>
      <c r="I34" s="3"/>
      <c r="J34" s="3"/>
      <c r="K34" s="3"/>
      <c r="L34" s="3"/>
      <c r="M34" s="3"/>
    </row>
    <row r="35" spans="1:13">
      <c r="A35" s="5">
        <f>Inschrijving!Z45</f>
        <v>3</v>
      </c>
      <c r="B35" s="6" t="str">
        <f>Inschrijving!AA45</f>
        <v>Tsjechië</v>
      </c>
      <c r="C35" s="7">
        <f>Inschrijving!AB45</f>
        <v>0</v>
      </c>
      <c r="D35" s="7">
        <f>Inschrijving!AC45</f>
        <v>0</v>
      </c>
      <c r="E35" s="7">
        <f>Inschrijving!AD45</f>
        <v>0</v>
      </c>
      <c r="F35" s="7">
        <f>Inschrijving!AE45</f>
        <v>0</v>
      </c>
      <c r="G35" s="7">
        <f>Inschrijving!AF45</f>
        <v>0</v>
      </c>
      <c r="H35" s="8"/>
      <c r="I35" s="3"/>
      <c r="J35" s="3"/>
      <c r="K35" s="3"/>
      <c r="L35" s="3"/>
      <c r="M35" s="3"/>
    </row>
    <row r="36" spans="1:13">
      <c r="A36" s="5">
        <f>Inschrijving!Z46</f>
        <v>4</v>
      </c>
      <c r="B36" s="6" t="str">
        <f>Inschrijving!AA46</f>
        <v>Turkije</v>
      </c>
      <c r="C36" s="7">
        <f>Inschrijving!AB46</f>
        <v>0</v>
      </c>
      <c r="D36" s="7">
        <f>Inschrijving!AC46</f>
        <v>0</v>
      </c>
      <c r="E36" s="7">
        <f>Inschrijving!AD46</f>
        <v>0</v>
      </c>
      <c r="F36" s="7">
        <f>Inschrijving!AE46</f>
        <v>0</v>
      </c>
      <c r="G36" s="7">
        <f>Inschrijving!AF46</f>
        <v>0</v>
      </c>
      <c r="H36" s="8"/>
      <c r="I36" s="3"/>
      <c r="J36" s="3"/>
      <c r="K36" s="3"/>
      <c r="L36" s="3"/>
      <c r="M36" s="3"/>
    </row>
    <row r="37" spans="1:13">
      <c r="A37" s="3"/>
      <c r="B37" s="138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3">
      <c r="A38" s="3"/>
      <c r="B38" s="65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13" ht="24" hidden="1" customHeight="1">
      <c r="A39" s="1"/>
      <c r="B39" s="139" t="e">
        <f>Inschrijving!#REF!</f>
        <v>#REF!</v>
      </c>
      <c r="C39" s="2" t="e">
        <f>Inschrijving!#REF!</f>
        <v>#REF!</v>
      </c>
      <c r="D39" s="2" t="e">
        <f>Inschrijving!#REF!</f>
        <v>#REF!</v>
      </c>
      <c r="E39" s="2" t="e">
        <f>Inschrijving!#REF!</f>
        <v>#REF!</v>
      </c>
      <c r="F39" s="2" t="e">
        <f>Inschrijving!#REF!</f>
        <v>#REF!</v>
      </c>
      <c r="G39" s="2" t="e">
        <f>Inschrijving!#REF!</f>
        <v>#REF!</v>
      </c>
      <c r="H39" s="3"/>
      <c r="I39" s="3"/>
      <c r="J39" s="3"/>
      <c r="K39" s="3"/>
      <c r="L39" s="3"/>
      <c r="M39" s="3"/>
    </row>
    <row r="40" spans="1:13" hidden="1">
      <c r="A40" s="5">
        <f>Inschrijving!Z39</f>
        <v>0</v>
      </c>
      <c r="B40" s="6">
        <f>Inschrijving!AA39</f>
        <v>0</v>
      </c>
      <c r="C40" s="7">
        <f>Inschrijving!AB39</f>
        <v>0</v>
      </c>
      <c r="D40" s="7">
        <f>Inschrijving!AC39</f>
        <v>0</v>
      </c>
      <c r="E40" s="7">
        <f>Inschrijving!AD39</f>
        <v>0</v>
      </c>
      <c r="F40" s="7">
        <f>Inschrijving!AE39</f>
        <v>0</v>
      </c>
      <c r="G40" s="7">
        <f>Inschrijving!AF39</f>
        <v>0</v>
      </c>
      <c r="H40" s="8"/>
      <c r="I40" s="3"/>
      <c r="J40" s="3"/>
      <c r="K40" s="3"/>
      <c r="L40" s="3"/>
      <c r="M40" s="3"/>
    </row>
    <row r="41" spans="1:13" hidden="1">
      <c r="A41" s="5">
        <f>Inschrijving!Z40</f>
        <v>0</v>
      </c>
      <c r="B41" s="6">
        <f>Inschrijving!AA40</f>
        <v>0</v>
      </c>
      <c r="C41" s="7">
        <f>Inschrijving!AB40</f>
        <v>0</v>
      </c>
      <c r="D41" s="7">
        <f>Inschrijving!AC40</f>
        <v>0</v>
      </c>
      <c r="E41" s="7">
        <f>Inschrijving!AD40</f>
        <v>0</v>
      </c>
      <c r="F41" s="7">
        <f>Inschrijving!AE40</f>
        <v>0</v>
      </c>
      <c r="G41" s="7">
        <f>Inschrijving!AF40</f>
        <v>0</v>
      </c>
      <c r="H41" s="8"/>
      <c r="I41" s="3"/>
      <c r="J41" s="3"/>
      <c r="K41" s="3"/>
      <c r="L41" s="3"/>
      <c r="M41" s="3"/>
    </row>
    <row r="42" spans="1:13" hidden="1">
      <c r="A42" s="5">
        <f>Inschrijving!Z41</f>
        <v>0</v>
      </c>
      <c r="B42" s="6">
        <f>Inschrijving!AA41</f>
        <v>0</v>
      </c>
      <c r="C42" s="7">
        <f>Inschrijving!AB41</f>
        <v>0</v>
      </c>
      <c r="D42" s="7">
        <f>Inschrijving!AC41</f>
        <v>0</v>
      </c>
      <c r="E42" s="7">
        <f>Inschrijving!AD41</f>
        <v>0</v>
      </c>
      <c r="F42" s="7">
        <f>Inschrijving!AE41</f>
        <v>0</v>
      </c>
      <c r="G42" s="7">
        <f>Inschrijving!AF41</f>
        <v>0</v>
      </c>
      <c r="H42" s="8"/>
      <c r="I42" s="3"/>
      <c r="J42" s="3"/>
      <c r="K42" s="3"/>
      <c r="L42" s="3"/>
      <c r="M42" s="3"/>
    </row>
    <row r="43" spans="1:13" hidden="1">
      <c r="A43" s="5" t="e">
        <f>Inschrijving!#REF!</f>
        <v>#REF!</v>
      </c>
      <c r="B43" s="6" t="e">
        <f>Inschrijving!#REF!</f>
        <v>#REF!</v>
      </c>
      <c r="C43" s="7" t="e">
        <f>Inschrijving!#REF!</f>
        <v>#REF!</v>
      </c>
      <c r="D43" s="7" t="e">
        <f>Inschrijving!#REF!</f>
        <v>#REF!</v>
      </c>
      <c r="E43" s="7" t="e">
        <f>Inschrijving!#REF!</f>
        <v>#REF!</v>
      </c>
      <c r="F43" s="7" t="e">
        <f>Inschrijving!#REF!</f>
        <v>#REF!</v>
      </c>
      <c r="G43" s="7" t="e">
        <f>Inschrijving!#REF!</f>
        <v>#REF!</v>
      </c>
      <c r="H43" s="8"/>
      <c r="I43" s="3"/>
      <c r="J43" s="3"/>
      <c r="K43" s="3"/>
      <c r="L43" s="3"/>
      <c r="M43" s="3"/>
    </row>
    <row r="44" spans="1:13" hidden="1">
      <c r="B44" s="9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3" ht="24" hidden="1" customHeight="1">
      <c r="A45" s="1"/>
      <c r="B45" s="1" t="e">
        <f>Inschrijving!#REF!</f>
        <v>#REF!</v>
      </c>
      <c r="C45" s="2" t="e">
        <f>Inschrijving!#REF!</f>
        <v>#REF!</v>
      </c>
      <c r="D45" s="2" t="e">
        <f>Inschrijving!#REF!</f>
        <v>#REF!</v>
      </c>
      <c r="E45" s="2" t="e">
        <f>Inschrijving!#REF!</f>
        <v>#REF!</v>
      </c>
      <c r="F45" s="2" t="e">
        <f>Inschrijving!#REF!</f>
        <v>#REF!</v>
      </c>
      <c r="G45" s="2" t="e">
        <f>Inschrijving!#REF!</f>
        <v>#REF!</v>
      </c>
      <c r="H45" s="3"/>
      <c r="I45" s="3"/>
      <c r="J45" s="3"/>
      <c r="K45" s="3"/>
      <c r="L45" s="3"/>
      <c r="M45" s="3"/>
    </row>
    <row r="46" spans="1:13" hidden="1">
      <c r="A46" s="5" t="e">
        <f>Inschrijving!#REF!</f>
        <v>#REF!</v>
      </c>
      <c r="B46" s="6" t="e">
        <f>Inschrijving!#REF!</f>
        <v>#REF!</v>
      </c>
      <c r="C46" s="7" t="e">
        <f>Inschrijving!#REF!</f>
        <v>#REF!</v>
      </c>
      <c r="D46" s="7" t="e">
        <f>Inschrijving!#REF!</f>
        <v>#REF!</v>
      </c>
      <c r="E46" s="7" t="e">
        <f>Inschrijving!#REF!</f>
        <v>#REF!</v>
      </c>
      <c r="F46" s="7" t="e">
        <f>Inschrijving!#REF!</f>
        <v>#REF!</v>
      </c>
      <c r="G46" s="7" t="e">
        <f>Inschrijving!#REF!</f>
        <v>#REF!</v>
      </c>
      <c r="H46" s="8"/>
      <c r="I46" s="3"/>
      <c r="J46" s="3"/>
      <c r="K46" s="3"/>
      <c r="L46" s="3"/>
      <c r="M46" s="3"/>
    </row>
    <row r="47" spans="1:13" hidden="1">
      <c r="A47" s="5" t="e">
        <f>Inschrijving!#REF!</f>
        <v>#REF!</v>
      </c>
      <c r="B47" s="6" t="e">
        <f>Inschrijving!#REF!</f>
        <v>#REF!</v>
      </c>
      <c r="C47" s="7" t="e">
        <f>Inschrijving!#REF!</f>
        <v>#REF!</v>
      </c>
      <c r="D47" s="7" t="e">
        <f>Inschrijving!#REF!</f>
        <v>#REF!</v>
      </c>
      <c r="E47" s="7" t="e">
        <f>Inschrijving!#REF!</f>
        <v>#REF!</v>
      </c>
      <c r="F47" s="7" t="e">
        <f>Inschrijving!#REF!</f>
        <v>#REF!</v>
      </c>
      <c r="G47" s="7" t="e">
        <f>Inschrijving!#REF!</f>
        <v>#REF!</v>
      </c>
      <c r="H47" s="8"/>
      <c r="I47" s="3"/>
      <c r="J47" s="3"/>
      <c r="K47" s="3"/>
      <c r="L47" s="3"/>
      <c r="M47" s="3"/>
    </row>
    <row r="48" spans="1:13" hidden="1">
      <c r="A48" s="5">
        <f>Inschrijving!Z47</f>
        <v>0</v>
      </c>
      <c r="B48" s="6">
        <f>Inschrijving!AA47</f>
        <v>0</v>
      </c>
      <c r="C48" s="7">
        <f>Inschrijving!AB47</f>
        <v>0</v>
      </c>
      <c r="D48" s="7">
        <f>Inschrijving!AC47</f>
        <v>0</v>
      </c>
      <c r="E48" s="7">
        <f>Inschrijving!AD47</f>
        <v>0</v>
      </c>
      <c r="F48" s="7">
        <f>Inschrijving!AE47</f>
        <v>0</v>
      </c>
      <c r="G48" s="7">
        <f>Inschrijving!AF47</f>
        <v>0</v>
      </c>
      <c r="H48" s="8"/>
      <c r="I48" s="3"/>
      <c r="J48" s="3"/>
      <c r="K48" s="3"/>
      <c r="L48" s="3"/>
      <c r="M48" s="3"/>
    </row>
    <row r="49" spans="1:13" hidden="1">
      <c r="A49" s="5">
        <f>Inschrijving!Z48</f>
        <v>0</v>
      </c>
      <c r="B49" s="6">
        <f>Inschrijving!AA48</f>
        <v>0</v>
      </c>
      <c r="C49" s="7">
        <f>Inschrijving!AB48</f>
        <v>0</v>
      </c>
      <c r="D49" s="7">
        <f>Inschrijving!AC48</f>
        <v>0</v>
      </c>
      <c r="E49" s="7">
        <f>Inschrijving!AD48</f>
        <v>0</v>
      </c>
      <c r="F49" s="7">
        <f>Inschrijving!AE48</f>
        <v>0</v>
      </c>
      <c r="G49" s="7">
        <f>Inschrijving!AF48</f>
        <v>0</v>
      </c>
      <c r="H49" s="8"/>
      <c r="I49" s="3"/>
      <c r="J49" s="3"/>
      <c r="K49" s="3"/>
      <c r="L49" s="3"/>
      <c r="M49" s="3"/>
    </row>
    <row r="50" spans="1:13" hidden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3" hidden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13" hidden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hidden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hidden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</sheetData>
  <sheetProtection algorithmName="SHA-512" hashValue="/M0CR/x2pBKPU3arC9HvbH+OwlXEjZwgoMRLvFVXeumYPorc34KYrblWZ4+oUlafkkM6bNV6MnZZVCFgeZt2kA==" saltValue="HR3GotyeT++9jbdDSBYaYQ==" spinCount="100000" sheet="1" objects="1" scenarios="1" selectLockedCells="1" selectUn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4"/>
  <dimension ref="A1:H155"/>
  <sheetViews>
    <sheetView showRowColHeaders="0" zoomScale="70" zoomScaleNormal="70" workbookViewId="0">
      <selection activeCell="D1" sqref="D1:G144"/>
    </sheetView>
  </sheetViews>
  <sheetFormatPr defaultColWidth="0" defaultRowHeight="12.75" zeroHeight="1"/>
  <cols>
    <col min="1" max="1" width="17.42578125" customWidth="1"/>
    <col min="2" max="2" width="2.140625" bestFit="1" customWidth="1"/>
    <col min="3" max="3" width="17.42578125" customWidth="1"/>
    <col min="4" max="4" width="9.140625" customWidth="1"/>
    <col min="5" max="5" width="4.7109375" customWidth="1"/>
    <col min="6" max="6" width="9.140625" customWidth="1"/>
    <col min="7" max="7" width="9.28515625" customWidth="1"/>
    <col min="8" max="8" width="5.42578125" bestFit="1" customWidth="1"/>
    <col min="9" max="16384" width="9.140625" hidden="1"/>
  </cols>
  <sheetData>
    <row r="1" spans="1:8" ht="15.75">
      <c r="A1" s="131" t="str">
        <f>Inschrijving!B1</f>
        <v>EK 2024 Voetbalpool</v>
      </c>
      <c r="B1" s="38"/>
      <c r="C1" s="27" t="str">
        <f>Inschrijving!F1</f>
        <v/>
      </c>
      <c r="D1" s="27" t="str">
        <f>Inschrijving!G1</f>
        <v/>
      </c>
      <c r="E1" s="28"/>
      <c r="F1" s="28"/>
      <c r="G1" s="29"/>
      <c r="H1" s="70"/>
    </row>
    <row r="2" spans="1:8">
      <c r="A2" s="70"/>
      <c r="B2" s="70"/>
      <c r="C2" s="132" t="s">
        <v>104</v>
      </c>
      <c r="D2" s="132" t="str">
        <f>CONCATENATE(Inschrijving!N11," ",Inschrijving!N12," ",MID(Inschrijving!N13,1,1),".")</f>
        <v xml:space="preserve">  .</v>
      </c>
      <c r="E2" s="70"/>
      <c r="F2" s="70"/>
      <c r="G2" s="70"/>
      <c r="H2" s="70"/>
    </row>
    <row r="3" spans="1:8">
      <c r="A3" s="48" t="str">
        <f>Inschrijving!B3</f>
        <v>Groep A</v>
      </c>
      <c r="B3" s="21"/>
      <c r="C3" s="30"/>
      <c r="D3" s="30" t="str">
        <f>Inschrijving!G3</f>
        <v>Uitslag</v>
      </c>
      <c r="E3" s="30"/>
      <c r="F3" s="30"/>
      <c r="G3" s="31" t="str">
        <f>Inschrijving!J3</f>
        <v>Toto</v>
      </c>
      <c r="H3" s="70" t="s">
        <v>66</v>
      </c>
    </row>
    <row r="4" spans="1:8">
      <c r="A4" s="39" t="str">
        <f>Inschrijving!D4</f>
        <v>Duitsland</v>
      </c>
      <c r="B4" s="40" t="str">
        <f>Inschrijving!E4</f>
        <v>-</v>
      </c>
      <c r="C4" s="39" t="str">
        <f>Inschrijving!F4</f>
        <v>Schotland</v>
      </c>
      <c r="D4" s="32">
        <f>Inschrijving!G4</f>
        <v>0</v>
      </c>
      <c r="E4" s="23" t="str">
        <f>Inschrijving!H4</f>
        <v>-</v>
      </c>
      <c r="F4" s="23">
        <f>Inschrijving!I4</f>
        <v>0</v>
      </c>
      <c r="G4" s="23">
        <f>Inschrijving!J4</f>
        <v>0</v>
      </c>
      <c r="H4" s="70"/>
    </row>
    <row r="5" spans="1:8">
      <c r="A5" s="39" t="str">
        <f>Inschrijving!D5</f>
        <v>Hongarije</v>
      </c>
      <c r="B5" s="40" t="str">
        <f>Inschrijving!E5</f>
        <v>-</v>
      </c>
      <c r="C5" s="39" t="str">
        <f>Inschrijving!F5</f>
        <v>Zwitserland</v>
      </c>
      <c r="D5" s="33">
        <f>Inschrijving!G5</f>
        <v>0</v>
      </c>
      <c r="E5" s="23" t="str">
        <f>Inschrijving!H5</f>
        <v>-</v>
      </c>
      <c r="F5" s="23">
        <f>Inschrijving!I5</f>
        <v>0</v>
      </c>
      <c r="G5" s="23">
        <f>Inschrijving!J5</f>
        <v>0</v>
      </c>
      <c r="H5" s="70"/>
    </row>
    <row r="6" spans="1:8">
      <c r="A6" s="39" t="str">
        <f>Inschrijving!D6</f>
        <v>Duitsland</v>
      </c>
      <c r="B6" s="40" t="str">
        <f>Inschrijving!E6</f>
        <v>-</v>
      </c>
      <c r="C6" s="39" t="str">
        <f>Inschrijving!F6</f>
        <v>Hongarije</v>
      </c>
      <c r="D6" s="32">
        <f>Inschrijving!G6</f>
        <v>0</v>
      </c>
      <c r="E6" s="23" t="str">
        <f>Inschrijving!H6</f>
        <v>-</v>
      </c>
      <c r="F6" s="23">
        <f>Inschrijving!I6</f>
        <v>0</v>
      </c>
      <c r="G6" s="34">
        <f>Inschrijving!J6</f>
        <v>0</v>
      </c>
      <c r="H6" s="70"/>
    </row>
    <row r="7" spans="1:8">
      <c r="A7" s="39" t="str">
        <f>Inschrijving!D7</f>
        <v>Schotland</v>
      </c>
      <c r="B7" s="40" t="str">
        <f>Inschrijving!E7</f>
        <v>-</v>
      </c>
      <c r="C7" s="39" t="str">
        <f>Inschrijving!F7</f>
        <v>Zwitserland</v>
      </c>
      <c r="D7" s="32">
        <f>Inschrijving!G7</f>
        <v>0</v>
      </c>
      <c r="E7" s="23" t="str">
        <f>Inschrijving!H7</f>
        <v>-</v>
      </c>
      <c r="F7" s="23">
        <f>Inschrijving!I7</f>
        <v>0</v>
      </c>
      <c r="G7" s="35">
        <f>Inschrijving!J7</f>
        <v>0</v>
      </c>
      <c r="H7" s="70"/>
    </row>
    <row r="8" spans="1:8">
      <c r="A8" s="39" t="str">
        <f>Inschrijving!D8</f>
        <v>Schotland</v>
      </c>
      <c r="B8" s="40" t="str">
        <f>Inschrijving!E8</f>
        <v>-</v>
      </c>
      <c r="C8" s="39" t="str">
        <f>Inschrijving!F8</f>
        <v>Hongarije</v>
      </c>
      <c r="D8" s="32">
        <f>Inschrijving!G8</f>
        <v>0</v>
      </c>
      <c r="E8" s="23" t="str">
        <f>Inschrijving!H8</f>
        <v>-</v>
      </c>
      <c r="F8" s="23">
        <f>Inschrijving!I8</f>
        <v>0</v>
      </c>
      <c r="G8" s="35">
        <f>Inschrijving!J8</f>
        <v>0</v>
      </c>
      <c r="H8" s="70"/>
    </row>
    <row r="9" spans="1:8">
      <c r="A9" s="39" t="str">
        <f>Inschrijving!D9</f>
        <v>Zwitserland</v>
      </c>
      <c r="B9" s="40" t="str">
        <f>Inschrijving!E9</f>
        <v>-</v>
      </c>
      <c r="C9" s="39" t="str">
        <f>Inschrijving!F9</f>
        <v>Duitsland</v>
      </c>
      <c r="D9" s="32">
        <f>Inschrijving!G9</f>
        <v>0</v>
      </c>
      <c r="E9" s="23" t="str">
        <f>Inschrijving!H9</f>
        <v>-</v>
      </c>
      <c r="F9" s="23">
        <f>Inschrijving!I9</f>
        <v>0</v>
      </c>
      <c r="G9" s="23">
        <f>Inschrijving!J9</f>
        <v>0</v>
      </c>
      <c r="H9" s="70"/>
    </row>
    <row r="10" spans="1:8">
      <c r="A10" s="70"/>
      <c r="B10" s="70"/>
      <c r="C10" s="70"/>
      <c r="D10" s="70"/>
      <c r="E10" s="70"/>
      <c r="F10" s="70"/>
      <c r="G10" s="70"/>
      <c r="H10" s="70"/>
    </row>
    <row r="11" spans="1:8">
      <c r="A11" s="48" t="str">
        <f>Inschrijving!B11</f>
        <v>Groep B</v>
      </c>
      <c r="B11" s="21"/>
      <c r="C11" s="30"/>
      <c r="D11" s="30" t="str">
        <f>Inschrijving!G11</f>
        <v>Uitslag</v>
      </c>
      <c r="E11" s="30"/>
      <c r="F11" s="30"/>
      <c r="G11" s="31"/>
      <c r="H11" s="70" t="s">
        <v>67</v>
      </c>
    </row>
    <row r="12" spans="1:8">
      <c r="A12" s="39" t="str">
        <f>Inschrijving!D12</f>
        <v>Spanje</v>
      </c>
      <c r="B12" s="40" t="str">
        <f>Inschrijving!E12</f>
        <v>-</v>
      </c>
      <c r="C12" s="39" t="str">
        <f>Inschrijving!F12</f>
        <v>Kroatië</v>
      </c>
      <c r="D12" s="32">
        <f>Inschrijving!G12</f>
        <v>0</v>
      </c>
      <c r="E12" s="23" t="str">
        <f>Inschrijving!H12</f>
        <v>-</v>
      </c>
      <c r="F12" s="23">
        <f>Inschrijving!I12</f>
        <v>0</v>
      </c>
      <c r="G12" s="23">
        <f>Inschrijving!J12</f>
        <v>0</v>
      </c>
      <c r="H12" s="70"/>
    </row>
    <row r="13" spans="1:8">
      <c r="A13" s="39" t="str">
        <f>Inschrijving!D13</f>
        <v>Italië</v>
      </c>
      <c r="B13" s="40" t="str">
        <f>Inschrijving!E13</f>
        <v>-</v>
      </c>
      <c r="C13" s="39" t="str">
        <f>Inschrijving!F13</f>
        <v>Albanië</v>
      </c>
      <c r="D13" s="33">
        <f>Inschrijving!G13</f>
        <v>0</v>
      </c>
      <c r="E13" s="23" t="str">
        <f>Inschrijving!H13</f>
        <v>-</v>
      </c>
      <c r="F13" s="23">
        <f>Inschrijving!I13</f>
        <v>0</v>
      </c>
      <c r="G13" s="23">
        <f>Inschrijving!J13</f>
        <v>0</v>
      </c>
      <c r="H13" s="70"/>
    </row>
    <row r="14" spans="1:8">
      <c r="A14" s="39" t="str">
        <f>Inschrijving!D14</f>
        <v>Kroatië</v>
      </c>
      <c r="B14" s="40" t="str">
        <f>Inschrijving!E14</f>
        <v>-</v>
      </c>
      <c r="C14" s="39" t="str">
        <f>Inschrijving!F14</f>
        <v>Albanië</v>
      </c>
      <c r="D14" s="32">
        <f>Inschrijving!G14</f>
        <v>0</v>
      </c>
      <c r="E14" s="23" t="str">
        <f>Inschrijving!H14</f>
        <v>-</v>
      </c>
      <c r="F14" s="23">
        <f>Inschrijving!I14</f>
        <v>0</v>
      </c>
      <c r="G14" s="34">
        <f>Inschrijving!J14</f>
        <v>0</v>
      </c>
      <c r="H14" s="70"/>
    </row>
    <row r="15" spans="1:8">
      <c r="A15" s="39" t="str">
        <f>Inschrijving!D15</f>
        <v>Spanje</v>
      </c>
      <c r="B15" s="40" t="str">
        <f>Inschrijving!E15</f>
        <v>-</v>
      </c>
      <c r="C15" s="39" t="str">
        <f>Inschrijving!F15</f>
        <v>Italië</v>
      </c>
      <c r="D15" s="32">
        <f>Inschrijving!G15</f>
        <v>0</v>
      </c>
      <c r="E15" s="23" t="str">
        <f>Inschrijving!H15</f>
        <v>-</v>
      </c>
      <c r="F15" s="23">
        <f>Inschrijving!I15</f>
        <v>0</v>
      </c>
      <c r="G15" s="35">
        <f>Inschrijving!J15</f>
        <v>0</v>
      </c>
      <c r="H15" s="70"/>
    </row>
    <row r="16" spans="1:8">
      <c r="A16" s="39" t="str">
        <f>Inschrijving!D16</f>
        <v>Kroatië</v>
      </c>
      <c r="B16" s="40" t="str">
        <f>Inschrijving!E16</f>
        <v>-</v>
      </c>
      <c r="C16" s="39" t="str">
        <f>Inschrijving!F16</f>
        <v>Italië</v>
      </c>
      <c r="D16" s="32">
        <f>Inschrijving!G16</f>
        <v>0</v>
      </c>
      <c r="E16" s="23" t="str">
        <f>Inschrijving!H16</f>
        <v>-</v>
      </c>
      <c r="F16" s="23">
        <f>Inschrijving!I16</f>
        <v>0</v>
      </c>
      <c r="G16" s="35">
        <f>Inschrijving!J16</f>
        <v>0</v>
      </c>
      <c r="H16" s="70"/>
    </row>
    <row r="17" spans="1:8">
      <c r="A17" s="49" t="str">
        <f>Inschrijving!D17</f>
        <v>Albanië</v>
      </c>
      <c r="B17" s="40" t="str">
        <f>Inschrijving!E17</f>
        <v>-</v>
      </c>
      <c r="C17" s="39" t="str">
        <f>Inschrijving!F17</f>
        <v>Spanje</v>
      </c>
      <c r="D17" s="32">
        <f>Inschrijving!G17</f>
        <v>0</v>
      </c>
      <c r="E17" s="23" t="str">
        <f>Inschrijving!H17</f>
        <v>-</v>
      </c>
      <c r="F17" s="23">
        <f>Inschrijving!I17</f>
        <v>0</v>
      </c>
      <c r="G17" s="23">
        <f>Inschrijving!J17</f>
        <v>0</v>
      </c>
      <c r="H17" s="70"/>
    </row>
    <row r="18" spans="1:8">
      <c r="A18" s="70"/>
      <c r="B18" s="70"/>
      <c r="C18" s="70"/>
      <c r="D18" s="70"/>
      <c r="E18" s="70"/>
      <c r="F18" s="70"/>
      <c r="G18" s="70"/>
      <c r="H18" s="70"/>
    </row>
    <row r="19" spans="1:8">
      <c r="A19" s="48" t="str">
        <f>Inschrijving!B19</f>
        <v>Groep C</v>
      </c>
      <c r="B19" s="21"/>
      <c r="C19" s="30"/>
      <c r="D19" s="30" t="str">
        <f>Inschrijving!G19</f>
        <v>Uitslag</v>
      </c>
      <c r="E19" s="30"/>
      <c r="F19" s="30"/>
      <c r="G19" s="31" t="str">
        <f>Inschrijving!J19</f>
        <v>Toto</v>
      </c>
      <c r="H19" s="70" t="s">
        <v>68</v>
      </c>
    </row>
    <row r="20" spans="1:8">
      <c r="A20" s="39" t="str">
        <f>Inschrijving!D20</f>
        <v>Slovenië</v>
      </c>
      <c r="B20" s="40" t="str">
        <f>Inschrijving!E20</f>
        <v>-</v>
      </c>
      <c r="C20" s="39" t="str">
        <f>Inschrijving!F20</f>
        <v>Denemarken</v>
      </c>
      <c r="D20" s="32">
        <f>Inschrijving!G20</f>
        <v>0</v>
      </c>
      <c r="E20" s="23" t="str">
        <f>Inschrijving!H20</f>
        <v>-</v>
      </c>
      <c r="F20" s="23">
        <f>Inschrijving!I20</f>
        <v>0</v>
      </c>
      <c r="G20" s="23">
        <f>Inschrijving!J20</f>
        <v>0</v>
      </c>
      <c r="H20" s="70"/>
    </row>
    <row r="21" spans="1:8">
      <c r="A21" s="39" t="str">
        <f>Inschrijving!D21</f>
        <v>Servië</v>
      </c>
      <c r="B21" s="40" t="str">
        <f>Inschrijving!E21</f>
        <v>-</v>
      </c>
      <c r="C21" s="39" t="str">
        <f>Inschrijving!F21</f>
        <v>Engeland</v>
      </c>
      <c r="D21" s="33">
        <f>Inschrijving!G21</f>
        <v>0</v>
      </c>
      <c r="E21" s="23" t="str">
        <f>Inschrijving!H21</f>
        <v>-</v>
      </c>
      <c r="F21" s="23">
        <f>Inschrijving!I21</f>
        <v>0</v>
      </c>
      <c r="G21" s="23">
        <f>Inschrijving!J21</f>
        <v>0</v>
      </c>
      <c r="H21" s="70"/>
    </row>
    <row r="22" spans="1:8">
      <c r="A22" s="39" t="str">
        <f>Inschrijving!D22</f>
        <v>Denemarken</v>
      </c>
      <c r="B22" s="40" t="str">
        <f>Inschrijving!E22</f>
        <v>-</v>
      </c>
      <c r="C22" s="39" t="str">
        <f>Inschrijving!F22</f>
        <v>Engeland</v>
      </c>
      <c r="D22" s="32">
        <f>Inschrijving!G22</f>
        <v>0</v>
      </c>
      <c r="E22" s="23" t="str">
        <f>Inschrijving!H22</f>
        <v>-</v>
      </c>
      <c r="F22" s="23">
        <f>Inschrijving!I22</f>
        <v>0</v>
      </c>
      <c r="G22" s="34">
        <f>Inschrijving!J22</f>
        <v>0</v>
      </c>
      <c r="H22" s="70"/>
    </row>
    <row r="23" spans="1:8">
      <c r="A23" s="39" t="str">
        <f>Inschrijving!D23</f>
        <v>Slovenië</v>
      </c>
      <c r="B23" s="40" t="str">
        <f>Inschrijving!E23</f>
        <v>-</v>
      </c>
      <c r="C23" s="39" t="str">
        <f>Inschrijving!F23</f>
        <v>Servië</v>
      </c>
      <c r="D23" s="32">
        <f>Inschrijving!G23</f>
        <v>0</v>
      </c>
      <c r="E23" s="23" t="str">
        <f>Inschrijving!H23</f>
        <v>-</v>
      </c>
      <c r="F23" s="23">
        <f>Inschrijving!I23</f>
        <v>0</v>
      </c>
      <c r="G23" s="35">
        <f>Inschrijving!J23</f>
        <v>0</v>
      </c>
      <c r="H23" s="70"/>
    </row>
    <row r="24" spans="1:8">
      <c r="A24" s="39" t="str">
        <f>Inschrijving!D24</f>
        <v>Engeland</v>
      </c>
      <c r="B24" s="40" t="str">
        <f>Inschrijving!E24</f>
        <v>-</v>
      </c>
      <c r="C24" s="39" t="str">
        <f>Inschrijving!F24</f>
        <v>Slovenië</v>
      </c>
      <c r="D24" s="32">
        <f>Inschrijving!G24</f>
        <v>0</v>
      </c>
      <c r="E24" s="23" t="str">
        <f>Inschrijving!H24</f>
        <v>-</v>
      </c>
      <c r="F24" s="23">
        <f>Inschrijving!I24</f>
        <v>0</v>
      </c>
      <c r="G24" s="35">
        <f>Inschrijving!J24</f>
        <v>0</v>
      </c>
      <c r="H24" s="70"/>
    </row>
    <row r="25" spans="1:8">
      <c r="A25" s="39" t="str">
        <f>Inschrijving!D25</f>
        <v>Denemarken</v>
      </c>
      <c r="B25" s="40" t="str">
        <f>Inschrijving!E25</f>
        <v>-</v>
      </c>
      <c r="C25" s="39" t="str">
        <f>Inschrijving!F25</f>
        <v>Servië</v>
      </c>
      <c r="D25" s="32">
        <f>Inschrijving!G25</f>
        <v>0</v>
      </c>
      <c r="E25" s="23" t="str">
        <f>Inschrijving!H25</f>
        <v>-</v>
      </c>
      <c r="F25" s="23">
        <f>Inschrijving!I25</f>
        <v>0</v>
      </c>
      <c r="G25" s="23">
        <f>Inschrijving!J25</f>
        <v>0</v>
      </c>
      <c r="H25" s="70"/>
    </row>
    <row r="26" spans="1:8">
      <c r="A26" s="70"/>
      <c r="B26" s="70"/>
      <c r="C26" s="70"/>
      <c r="D26" s="70"/>
      <c r="E26" s="70"/>
      <c r="F26" s="70"/>
      <c r="G26" s="70"/>
      <c r="H26" s="70"/>
    </row>
    <row r="27" spans="1:8">
      <c r="A27" s="48" t="str">
        <f>Inschrijving!B27</f>
        <v>Groep D</v>
      </c>
      <c r="B27" s="21"/>
      <c r="C27" s="30"/>
      <c r="D27" s="30" t="str">
        <f>Inschrijving!G27</f>
        <v>Uitslag</v>
      </c>
      <c r="E27" s="30"/>
      <c r="F27" s="30"/>
      <c r="G27" s="31" t="str">
        <f>Inschrijving!J27</f>
        <v>Toto</v>
      </c>
      <c r="H27" s="70" t="s">
        <v>69</v>
      </c>
    </row>
    <row r="28" spans="1:8">
      <c r="A28" s="39" t="str">
        <f>Inschrijving!D28</f>
        <v>Polen</v>
      </c>
      <c r="B28" s="40" t="str">
        <f>Inschrijving!E28</f>
        <v>-</v>
      </c>
      <c r="C28" s="39" t="str">
        <f>Inschrijving!F28</f>
        <v>Nederland</v>
      </c>
      <c r="D28" s="32">
        <f>Inschrijving!G28</f>
        <v>0</v>
      </c>
      <c r="E28" s="23" t="str">
        <f>Inschrijving!H28</f>
        <v>-</v>
      </c>
      <c r="F28" s="23">
        <f>Inschrijving!I28</f>
        <v>0</v>
      </c>
      <c r="G28" s="23">
        <f>Inschrijving!J28</f>
        <v>0</v>
      </c>
      <c r="H28" s="70"/>
    </row>
    <row r="29" spans="1:8">
      <c r="A29" s="39" t="str">
        <f>Inschrijving!D29</f>
        <v>Oostenrijk</v>
      </c>
      <c r="B29" s="40" t="str">
        <f>Inschrijving!E29</f>
        <v>-</v>
      </c>
      <c r="C29" s="39" t="str">
        <f>Inschrijving!F29</f>
        <v>Frankrijk</v>
      </c>
      <c r="D29" s="33">
        <f>Inschrijving!G29</f>
        <v>0</v>
      </c>
      <c r="E29" s="23" t="str">
        <f>Inschrijving!H29</f>
        <v>-</v>
      </c>
      <c r="F29" s="23">
        <f>Inschrijving!I29</f>
        <v>0</v>
      </c>
      <c r="G29" s="23">
        <f>Inschrijving!J29</f>
        <v>0</v>
      </c>
      <c r="H29" s="70"/>
    </row>
    <row r="30" spans="1:8">
      <c r="A30" s="39" t="str">
        <f>Inschrijving!D30</f>
        <v>Nederland</v>
      </c>
      <c r="B30" s="40" t="str">
        <f>Inschrijving!E30</f>
        <v>-</v>
      </c>
      <c r="C30" s="39" t="str">
        <f>Inschrijving!F30</f>
        <v>Frankrijk</v>
      </c>
      <c r="D30" s="32">
        <f>Inschrijving!G30</f>
        <v>0</v>
      </c>
      <c r="E30" s="23" t="str">
        <f>Inschrijving!H30</f>
        <v>-</v>
      </c>
      <c r="F30" s="23">
        <f>Inschrijving!I30</f>
        <v>0</v>
      </c>
      <c r="G30" s="34">
        <f>Inschrijving!J30</f>
        <v>0</v>
      </c>
      <c r="H30" s="70"/>
    </row>
    <row r="31" spans="1:8">
      <c r="A31" s="39" t="str">
        <f>Inschrijving!D31</f>
        <v>Polen</v>
      </c>
      <c r="B31" s="40" t="str">
        <f>Inschrijving!E31</f>
        <v>-</v>
      </c>
      <c r="C31" s="39" t="str">
        <f>Inschrijving!F31</f>
        <v>Oostenrijk</v>
      </c>
      <c r="D31" s="32">
        <f>Inschrijving!G31</f>
        <v>0</v>
      </c>
      <c r="E31" s="23" t="str">
        <f>Inschrijving!H31</f>
        <v>-</v>
      </c>
      <c r="F31" s="23">
        <f>Inschrijving!I31</f>
        <v>0</v>
      </c>
      <c r="G31" s="35">
        <f>Inschrijving!J31</f>
        <v>0</v>
      </c>
      <c r="H31" s="70"/>
    </row>
    <row r="32" spans="1:8">
      <c r="A32" s="39" t="str">
        <f>Inschrijving!D32</f>
        <v>Frankrijk</v>
      </c>
      <c r="B32" s="40" t="str">
        <f>Inschrijving!E32</f>
        <v>-</v>
      </c>
      <c r="C32" s="39" t="str">
        <f>Inschrijving!F32</f>
        <v>Polen</v>
      </c>
      <c r="D32" s="32">
        <f>Inschrijving!G32</f>
        <v>0</v>
      </c>
      <c r="E32" s="23" t="str">
        <f>Inschrijving!H32</f>
        <v>-</v>
      </c>
      <c r="F32" s="23">
        <f>Inschrijving!I32</f>
        <v>0</v>
      </c>
      <c r="G32" s="35">
        <f>Inschrijving!J32</f>
        <v>0</v>
      </c>
      <c r="H32" s="70"/>
    </row>
    <row r="33" spans="1:8">
      <c r="A33" s="39" t="str">
        <f>Inschrijving!D33</f>
        <v>Nederland</v>
      </c>
      <c r="B33" s="40" t="str">
        <f>Inschrijving!E33</f>
        <v>-</v>
      </c>
      <c r="C33" s="39" t="str">
        <f>Inschrijving!F33</f>
        <v>Oostenrijk</v>
      </c>
      <c r="D33" s="32">
        <f>Inschrijving!G33</f>
        <v>0</v>
      </c>
      <c r="E33" s="23" t="str">
        <f>Inschrijving!H33</f>
        <v>-</v>
      </c>
      <c r="F33" s="23">
        <f>Inschrijving!I33</f>
        <v>0</v>
      </c>
      <c r="G33" s="23">
        <f>Inschrijving!J33</f>
        <v>0</v>
      </c>
      <c r="H33" s="70"/>
    </row>
    <row r="34" spans="1:8">
      <c r="A34" s="70"/>
      <c r="B34" s="70"/>
      <c r="C34" s="70"/>
      <c r="D34" s="70"/>
      <c r="E34" s="70"/>
      <c r="F34" s="70"/>
      <c r="G34" s="70"/>
      <c r="H34" s="70"/>
    </row>
    <row r="35" spans="1:8">
      <c r="A35" s="48" t="str">
        <f>Inschrijving!B35</f>
        <v>Groep E</v>
      </c>
      <c r="B35" s="21"/>
      <c r="C35" s="30"/>
      <c r="D35" s="30" t="str">
        <f>Inschrijving!G35</f>
        <v>Uitslag</v>
      </c>
      <c r="E35" s="30"/>
      <c r="F35" s="30"/>
      <c r="G35" s="31" t="str">
        <f>Inschrijving!J35</f>
        <v>Toto</v>
      </c>
      <c r="H35" s="70" t="s">
        <v>70</v>
      </c>
    </row>
    <row r="36" spans="1:8">
      <c r="A36" s="39" t="str">
        <f>Inschrijving!D36</f>
        <v>België</v>
      </c>
      <c r="B36" s="40" t="str">
        <f>Inschrijving!E36</f>
        <v>-</v>
      </c>
      <c r="C36" s="39" t="str">
        <f>Inschrijving!F36</f>
        <v>Slowakije</v>
      </c>
      <c r="D36" s="32">
        <f>Inschrijving!G36</f>
        <v>0</v>
      </c>
      <c r="E36" s="23" t="str">
        <f>Inschrijving!H36</f>
        <v>-</v>
      </c>
      <c r="F36" s="23">
        <f>Inschrijving!I36</f>
        <v>0</v>
      </c>
      <c r="G36" s="23">
        <f>Inschrijving!J36</f>
        <v>0</v>
      </c>
      <c r="H36" s="70"/>
    </row>
    <row r="37" spans="1:8">
      <c r="A37" s="39" t="str">
        <f>Inschrijving!D37</f>
        <v>Roemenië</v>
      </c>
      <c r="B37" s="40" t="str">
        <f>Inschrijving!E37</f>
        <v>-</v>
      </c>
      <c r="C37" s="39" t="str">
        <f>Inschrijving!F37</f>
        <v>Oekraïne</v>
      </c>
      <c r="D37" s="33">
        <f>Inschrijving!G37</f>
        <v>0</v>
      </c>
      <c r="E37" s="23" t="str">
        <f>Inschrijving!H37</f>
        <v>-</v>
      </c>
      <c r="F37" s="23">
        <f>Inschrijving!I37</f>
        <v>0</v>
      </c>
      <c r="G37" s="23">
        <f>Inschrijving!J37</f>
        <v>0</v>
      </c>
      <c r="H37" s="70"/>
    </row>
    <row r="38" spans="1:8">
      <c r="A38" s="39" t="str">
        <f>Inschrijving!D38</f>
        <v>Slowakije</v>
      </c>
      <c r="B38" s="40" t="str">
        <f>Inschrijving!E38</f>
        <v>-</v>
      </c>
      <c r="C38" s="39" t="str">
        <f>Inschrijving!F38</f>
        <v>Oekraïne</v>
      </c>
      <c r="D38" s="32">
        <f>Inschrijving!G38</f>
        <v>0</v>
      </c>
      <c r="E38" s="23" t="str">
        <f>Inschrijving!H38</f>
        <v>-</v>
      </c>
      <c r="F38" s="23">
        <f>Inschrijving!I38</f>
        <v>0</v>
      </c>
      <c r="G38" s="34">
        <f>Inschrijving!J38</f>
        <v>0</v>
      </c>
      <c r="H38" s="70"/>
    </row>
    <row r="39" spans="1:8">
      <c r="A39" s="39" t="str">
        <f>Inschrijving!D39</f>
        <v>België</v>
      </c>
      <c r="B39" s="40" t="str">
        <f>Inschrijving!E39</f>
        <v>-</v>
      </c>
      <c r="C39" s="39" t="str">
        <f>Inschrijving!F39</f>
        <v>Roemenië</v>
      </c>
      <c r="D39" s="32">
        <f>Inschrijving!G39</f>
        <v>0</v>
      </c>
      <c r="E39" s="23" t="str">
        <f>Inschrijving!H39</f>
        <v>-</v>
      </c>
      <c r="F39" s="23">
        <f>Inschrijving!I39</f>
        <v>0</v>
      </c>
      <c r="G39" s="35">
        <f>Inschrijving!J39</f>
        <v>0</v>
      </c>
      <c r="H39" s="70"/>
    </row>
    <row r="40" spans="1:8">
      <c r="A40" s="39" t="str">
        <f>Inschrijving!D40</f>
        <v>Oekraïne</v>
      </c>
      <c r="B40" s="40" t="str">
        <f>Inschrijving!E40</f>
        <v>-</v>
      </c>
      <c r="C40" s="39" t="str">
        <f>Inschrijving!F40</f>
        <v>België</v>
      </c>
      <c r="D40" s="32">
        <f>Inschrijving!G40</f>
        <v>0</v>
      </c>
      <c r="E40" s="23" t="str">
        <f>Inschrijving!H40</f>
        <v>-</v>
      </c>
      <c r="F40" s="23">
        <f>Inschrijving!I40</f>
        <v>0</v>
      </c>
      <c r="G40" s="35">
        <f>Inschrijving!J40</f>
        <v>0</v>
      </c>
      <c r="H40" s="70"/>
    </row>
    <row r="41" spans="1:8">
      <c r="A41" s="39" t="str">
        <f>Inschrijving!D41</f>
        <v>Slowakije</v>
      </c>
      <c r="B41" s="40" t="str">
        <f>Inschrijving!E41</f>
        <v>-</v>
      </c>
      <c r="C41" s="39" t="str">
        <f>Inschrijving!F41</f>
        <v>Roemenië</v>
      </c>
      <c r="D41" s="32">
        <f>Inschrijving!G41</f>
        <v>0</v>
      </c>
      <c r="E41" s="23" t="str">
        <f>Inschrijving!H41</f>
        <v>-</v>
      </c>
      <c r="F41" s="23">
        <f>Inschrijving!I41</f>
        <v>0</v>
      </c>
      <c r="G41" s="23">
        <f>Inschrijving!J41</f>
        <v>0</v>
      </c>
      <c r="H41" s="70"/>
    </row>
    <row r="42" spans="1:8">
      <c r="A42" s="70"/>
      <c r="B42" s="70"/>
      <c r="C42" s="70"/>
      <c r="D42" s="70"/>
      <c r="E42" s="70"/>
      <c r="F42" s="70"/>
      <c r="G42" s="70"/>
      <c r="H42" s="70"/>
    </row>
    <row r="43" spans="1:8">
      <c r="A43" s="48" t="str">
        <f>Inschrijving!B43</f>
        <v>Groep F</v>
      </c>
      <c r="B43" s="21"/>
      <c r="C43" s="30"/>
      <c r="D43" s="30" t="str">
        <f>Inschrijving!G43</f>
        <v>Uitslag</v>
      </c>
      <c r="E43" s="30"/>
      <c r="F43" s="30"/>
      <c r="G43" s="31" t="str">
        <f>Inschrijving!J43</f>
        <v>Toto</v>
      </c>
      <c r="H43" s="70" t="s">
        <v>71</v>
      </c>
    </row>
    <row r="44" spans="1:8">
      <c r="A44" s="39" t="str">
        <f>Inschrijving!D44</f>
        <v>Turkije</v>
      </c>
      <c r="B44" s="40" t="str">
        <f>Inschrijving!E44</f>
        <v>-</v>
      </c>
      <c r="C44" s="39" t="str">
        <f>Inschrijving!F44</f>
        <v>Georgië</v>
      </c>
      <c r="D44" s="32">
        <f>Inschrijving!G44</f>
        <v>0</v>
      </c>
      <c r="E44" s="23" t="str">
        <f>Inschrijving!H44</f>
        <v>-</v>
      </c>
      <c r="F44" s="23">
        <f>Inschrijving!I44</f>
        <v>0</v>
      </c>
      <c r="G44" s="23">
        <f>Inschrijving!J44</f>
        <v>0</v>
      </c>
      <c r="H44" s="70"/>
    </row>
    <row r="45" spans="1:8">
      <c r="A45" s="39" t="str">
        <f>Inschrijving!D45</f>
        <v>Portugal</v>
      </c>
      <c r="B45" s="40" t="str">
        <f>Inschrijving!E45</f>
        <v>-</v>
      </c>
      <c r="C45" s="39" t="str">
        <f>Inschrijving!F45</f>
        <v>Tsjechië</v>
      </c>
      <c r="D45" s="33">
        <f>Inschrijving!G45</f>
        <v>0</v>
      </c>
      <c r="E45" s="23" t="str">
        <f>Inschrijving!H45</f>
        <v>-</v>
      </c>
      <c r="F45" s="23">
        <f>Inschrijving!I45</f>
        <v>0</v>
      </c>
      <c r="G45" s="23">
        <f>Inschrijving!J45</f>
        <v>0</v>
      </c>
      <c r="H45" s="70"/>
    </row>
    <row r="46" spans="1:8">
      <c r="A46" s="39" t="str">
        <f>Inschrijving!D46</f>
        <v>Turkije</v>
      </c>
      <c r="B46" s="40" t="str">
        <f>Inschrijving!E46</f>
        <v>-</v>
      </c>
      <c r="C46" s="39" t="str">
        <f>Inschrijving!F46</f>
        <v>Portugal</v>
      </c>
      <c r="D46" s="32">
        <f>Inschrijving!G46</f>
        <v>0</v>
      </c>
      <c r="E46" s="23" t="str">
        <f>Inschrijving!H46</f>
        <v>-</v>
      </c>
      <c r="F46" s="23">
        <f>Inschrijving!I46</f>
        <v>0</v>
      </c>
      <c r="G46" s="34">
        <f>Inschrijving!J46</f>
        <v>0</v>
      </c>
      <c r="H46" s="70"/>
    </row>
    <row r="47" spans="1:8">
      <c r="A47" s="39" t="str">
        <f>Inschrijving!D47</f>
        <v>Georgië</v>
      </c>
      <c r="B47" s="40" t="str">
        <f>Inschrijving!E47</f>
        <v>-</v>
      </c>
      <c r="C47" s="39" t="str">
        <f>Inschrijving!F47</f>
        <v>Tsjechië</v>
      </c>
      <c r="D47" s="32">
        <f>Inschrijving!G47</f>
        <v>0</v>
      </c>
      <c r="E47" s="23" t="str">
        <f>Inschrijving!H47</f>
        <v>-</v>
      </c>
      <c r="F47" s="23">
        <f>Inschrijving!I47</f>
        <v>0</v>
      </c>
      <c r="G47" s="35">
        <f>Inschrijving!J47</f>
        <v>0</v>
      </c>
      <c r="H47" s="70"/>
    </row>
    <row r="48" spans="1:8">
      <c r="A48" s="39" t="str">
        <f>Inschrijving!D48</f>
        <v>Tsjechië</v>
      </c>
      <c r="B48" s="40" t="str">
        <f>Inschrijving!E48</f>
        <v>-</v>
      </c>
      <c r="C48" s="39" t="str">
        <f>Inschrijving!F48</f>
        <v>Turkije</v>
      </c>
      <c r="D48" s="32">
        <f>Inschrijving!G48</f>
        <v>0</v>
      </c>
      <c r="E48" s="23" t="str">
        <f>Inschrijving!H48</f>
        <v>-</v>
      </c>
      <c r="F48" s="23">
        <f>Inschrijving!I48</f>
        <v>0</v>
      </c>
      <c r="G48" s="35">
        <f>Inschrijving!J48</f>
        <v>0</v>
      </c>
      <c r="H48" s="70"/>
    </row>
    <row r="49" spans="1:8">
      <c r="A49" s="39" t="str">
        <f>Inschrijving!D49</f>
        <v>Georgië</v>
      </c>
      <c r="B49" s="40" t="str">
        <f>Inschrijving!E49</f>
        <v>-</v>
      </c>
      <c r="C49" s="39" t="str">
        <f>Inschrijving!F49</f>
        <v>Portugal</v>
      </c>
      <c r="D49" s="32">
        <f>Inschrijving!G49</f>
        <v>0</v>
      </c>
      <c r="E49" s="23" t="str">
        <f>Inschrijving!H49</f>
        <v>-</v>
      </c>
      <c r="F49" s="23">
        <f>Inschrijving!I49</f>
        <v>0</v>
      </c>
      <c r="G49" s="23">
        <f>Inschrijving!J49</f>
        <v>0</v>
      </c>
      <c r="H49" s="70"/>
    </row>
    <row r="50" spans="1:8">
      <c r="A50" s="70"/>
      <c r="B50" s="70"/>
      <c r="C50" s="70"/>
      <c r="D50" s="70"/>
      <c r="E50" s="70"/>
      <c r="F50" s="70"/>
      <c r="G50" s="70"/>
      <c r="H50" s="70"/>
    </row>
    <row r="51" spans="1:8">
      <c r="A51" s="70"/>
      <c r="B51" s="70"/>
      <c r="C51" s="70"/>
      <c r="D51" s="70"/>
      <c r="E51" s="70"/>
      <c r="F51" s="70"/>
      <c r="G51" s="70"/>
      <c r="H51" s="70"/>
    </row>
    <row r="52" spans="1:8">
      <c r="A52" s="48" t="str">
        <f>Inschrijving!B51</f>
        <v>Achtste finales</v>
      </c>
      <c r="B52" s="21"/>
      <c r="C52" s="30"/>
      <c r="D52" s="30" t="str">
        <f>Inschrijving!G51</f>
        <v>Uitslag</v>
      </c>
      <c r="E52" s="30"/>
      <c r="F52" s="30"/>
      <c r="G52" s="36" t="str">
        <f>Inschrijving!J51</f>
        <v>Toto</v>
      </c>
      <c r="H52" s="70"/>
    </row>
    <row r="53" spans="1:8">
      <c r="A53" s="41" t="str">
        <f>Inschrijving!D52</f>
        <v>2e poule A</v>
      </c>
      <c r="B53" s="25" t="str">
        <f>Inschrijving!E52</f>
        <v>-</v>
      </c>
      <c r="C53" s="42" t="str">
        <f>Inschrijving!F52</f>
        <v>2e poule B</v>
      </c>
      <c r="D53" s="32">
        <f>Inschrijving!G52</f>
        <v>0</v>
      </c>
      <c r="E53" s="23" t="str">
        <f>Inschrijving!H52</f>
        <v>-</v>
      </c>
      <c r="F53" s="23">
        <f>Inschrijving!I52</f>
        <v>0</v>
      </c>
      <c r="G53" s="37">
        <f>Inschrijving!J52</f>
        <v>0</v>
      </c>
      <c r="H53" s="71" t="str">
        <f>Inschrijving!K52</f>
        <v>AF1</v>
      </c>
    </row>
    <row r="54" spans="1:8">
      <c r="A54" s="41" t="str">
        <f>Inschrijving!D53</f>
        <v>1e poule A</v>
      </c>
      <c r="B54" s="25" t="str">
        <f>Inschrijving!E53</f>
        <v>-</v>
      </c>
      <c r="C54" s="42" t="str">
        <f>Inschrijving!F53</f>
        <v>2e poule C</v>
      </c>
      <c r="D54" s="33">
        <f>Inschrijving!G53</f>
        <v>0</v>
      </c>
      <c r="E54" s="23" t="str">
        <f>Inschrijving!H53</f>
        <v>-</v>
      </c>
      <c r="F54" s="23">
        <f>Inschrijving!I53</f>
        <v>0</v>
      </c>
      <c r="G54" s="37">
        <f>Inschrijving!J53</f>
        <v>0</v>
      </c>
      <c r="H54" s="71" t="str">
        <f>Inschrijving!K53</f>
        <v>AF2</v>
      </c>
    </row>
    <row r="55" spans="1:8">
      <c r="A55" s="41" t="str">
        <f>Inschrijving!D54</f>
        <v>1e poule C</v>
      </c>
      <c r="B55" s="25" t="str">
        <f>Inschrijving!E54</f>
        <v>-</v>
      </c>
      <c r="C55" s="42" t="str">
        <f>Inschrijving!F54</f>
        <v>3e poule D/E/F</v>
      </c>
      <c r="D55" s="43">
        <f>Inschrijving!G54</f>
        <v>0</v>
      </c>
      <c r="E55" s="23" t="str">
        <f>Inschrijving!H54</f>
        <v>-</v>
      </c>
      <c r="F55" s="23">
        <f>Inschrijving!I54</f>
        <v>0</v>
      </c>
      <c r="G55" s="37">
        <f>Inschrijving!J54</f>
        <v>0</v>
      </c>
      <c r="H55" s="71" t="str">
        <f>Inschrijving!K54</f>
        <v>AF3</v>
      </c>
    </row>
    <row r="56" spans="1:8">
      <c r="A56" s="41" t="str">
        <f>Inschrijving!D55</f>
        <v>1e poule B</v>
      </c>
      <c r="B56" s="25" t="str">
        <f>Inschrijving!E55</f>
        <v>-</v>
      </c>
      <c r="C56" s="42" t="str">
        <f>Inschrijving!F55</f>
        <v>3e poule A/D/E/F</v>
      </c>
      <c r="D56" s="32">
        <f>Inschrijving!G55</f>
        <v>0</v>
      </c>
      <c r="E56" s="23" t="str">
        <f>Inschrijving!H55</f>
        <v>-</v>
      </c>
      <c r="F56" s="23">
        <f>Inschrijving!I55</f>
        <v>0</v>
      </c>
      <c r="G56" s="37">
        <f>Inschrijving!J55</f>
        <v>0</v>
      </c>
      <c r="H56" s="71" t="str">
        <f>Inschrijving!K55</f>
        <v>AF4</v>
      </c>
    </row>
    <row r="57" spans="1:8">
      <c r="A57" s="41" t="str">
        <f>Inschrijving!D56</f>
        <v>2e poule D</v>
      </c>
      <c r="B57" s="25" t="str">
        <f>Inschrijving!E56</f>
        <v>-</v>
      </c>
      <c r="C57" s="42" t="str">
        <f>Inschrijving!F56</f>
        <v>2e poule E</v>
      </c>
      <c r="D57" s="32">
        <f>Inschrijving!G56</f>
        <v>0</v>
      </c>
      <c r="E57" s="23" t="str">
        <f>Inschrijving!H56</f>
        <v>-</v>
      </c>
      <c r="F57" s="23">
        <f>Inschrijving!I56</f>
        <v>0</v>
      </c>
      <c r="G57" s="37">
        <f>Inschrijving!J56</f>
        <v>0</v>
      </c>
      <c r="H57" s="71" t="str">
        <f>Inschrijving!K56</f>
        <v>AF5</v>
      </c>
    </row>
    <row r="58" spans="1:8">
      <c r="A58" s="41" t="str">
        <f>Inschrijving!D57</f>
        <v>1e poule F</v>
      </c>
      <c r="B58" s="25" t="str">
        <f>Inschrijving!E57</f>
        <v>-</v>
      </c>
      <c r="C58" s="42" t="str">
        <f>Inschrijving!F57</f>
        <v>3e poule A/B/C</v>
      </c>
      <c r="D58" s="32">
        <f>Inschrijving!G57</f>
        <v>0</v>
      </c>
      <c r="E58" s="23" t="str">
        <f>Inschrijving!H57</f>
        <v>-</v>
      </c>
      <c r="F58" s="23">
        <f>Inschrijving!I57</f>
        <v>0</v>
      </c>
      <c r="G58" s="37">
        <f>Inschrijving!J57</f>
        <v>0</v>
      </c>
      <c r="H58" s="71" t="str">
        <f>Inschrijving!K57</f>
        <v>AF6</v>
      </c>
    </row>
    <row r="59" spans="1:8">
      <c r="A59" s="41" t="str">
        <f>Inschrijving!D58</f>
        <v>1e poule D</v>
      </c>
      <c r="B59" s="25" t="str">
        <f>Inschrijving!E58</f>
        <v>-</v>
      </c>
      <c r="C59" s="42" t="str">
        <f>Inschrijving!F58</f>
        <v>2e poule F</v>
      </c>
      <c r="D59" s="32">
        <f>Inschrijving!G58</f>
        <v>0</v>
      </c>
      <c r="E59" s="23" t="str">
        <f>Inschrijving!H58</f>
        <v>-</v>
      </c>
      <c r="F59" s="23">
        <f>Inschrijving!I58</f>
        <v>0</v>
      </c>
      <c r="G59" s="37">
        <f>Inschrijving!J58</f>
        <v>0</v>
      </c>
      <c r="H59" s="71" t="str">
        <f>Inschrijving!K58</f>
        <v>AF7</v>
      </c>
    </row>
    <row r="60" spans="1:8">
      <c r="A60" s="41" t="str">
        <f>Inschrijving!D59</f>
        <v>1e poule E</v>
      </c>
      <c r="B60" s="25" t="str">
        <f>Inschrijving!E59</f>
        <v>-</v>
      </c>
      <c r="C60" s="42" t="str">
        <f>Inschrijving!F59</f>
        <v>3e poule A/B/C/D</v>
      </c>
      <c r="D60" s="32">
        <f>Inschrijving!G59</f>
        <v>0</v>
      </c>
      <c r="E60" s="23" t="str">
        <f>Inschrijving!H59</f>
        <v>-</v>
      </c>
      <c r="F60" s="23">
        <f>Inschrijving!I59</f>
        <v>0</v>
      </c>
      <c r="G60" s="37">
        <f>Inschrijving!J59</f>
        <v>0</v>
      </c>
      <c r="H60" s="71" t="str">
        <f>Inschrijving!K59</f>
        <v>AF8</v>
      </c>
    </row>
    <row r="61" spans="1:8">
      <c r="A61" s="70"/>
      <c r="B61" s="70"/>
      <c r="C61" s="70"/>
      <c r="D61" s="70"/>
      <c r="E61" s="70"/>
      <c r="F61" s="70"/>
      <c r="G61" s="70"/>
      <c r="H61" s="71"/>
    </row>
    <row r="62" spans="1:8">
      <c r="A62" s="70"/>
      <c r="B62" s="70"/>
      <c r="C62" s="70"/>
      <c r="D62" s="70"/>
      <c r="E62" s="70"/>
      <c r="F62" s="70"/>
      <c r="G62" s="70"/>
      <c r="H62" s="71"/>
    </row>
    <row r="63" spans="1:8">
      <c r="A63" s="45" t="str">
        <f>Inschrijving!B62</f>
        <v>Kwartfinales</v>
      </c>
      <c r="B63" s="21"/>
      <c r="C63" s="30"/>
      <c r="D63" s="30" t="str">
        <f>Inschrijving!G62</f>
        <v>Uitslag</v>
      </c>
      <c r="E63" s="30"/>
      <c r="F63" s="30"/>
      <c r="G63" s="36" t="str">
        <f>Inschrijving!J62</f>
        <v>Toto</v>
      </c>
      <c r="H63" s="71"/>
    </row>
    <row r="64" spans="1:8">
      <c r="A64" s="41" t="str">
        <f>Inschrijving!D63</f>
        <v>vul winnaar in AF6</v>
      </c>
      <c r="B64" s="25" t="str">
        <f>Inschrijving!E63</f>
        <v>-</v>
      </c>
      <c r="C64" s="42" t="str">
        <f>Inschrijving!F63</f>
        <v>vul winnaar in AF5</v>
      </c>
      <c r="D64" s="32">
        <f>Inschrijving!G63</f>
        <v>0</v>
      </c>
      <c r="E64" s="23" t="str">
        <f>Inschrijving!H63</f>
        <v>-</v>
      </c>
      <c r="F64" s="23">
        <f>Inschrijving!I63</f>
        <v>0</v>
      </c>
      <c r="G64" s="37">
        <f>Inschrijving!J63</f>
        <v>0</v>
      </c>
      <c r="H64" s="71" t="str">
        <f>Inschrijving!K63</f>
        <v>KF1</v>
      </c>
    </row>
    <row r="65" spans="1:8">
      <c r="A65" s="41" t="str">
        <f>Inschrijving!D64</f>
        <v>vul winnaar in AF4</v>
      </c>
      <c r="B65" s="25" t="str">
        <f>Inschrijving!E64</f>
        <v>-</v>
      </c>
      <c r="C65" s="42" t="str">
        <f>Inschrijving!F64</f>
        <v>vul winnaar in AF2</v>
      </c>
      <c r="D65" s="32">
        <f>Inschrijving!G64</f>
        <v>0</v>
      </c>
      <c r="E65" s="23" t="str">
        <f>Inschrijving!H64</f>
        <v>-</v>
      </c>
      <c r="F65" s="23">
        <f>Inschrijving!I64</f>
        <v>0</v>
      </c>
      <c r="G65" s="37">
        <f>Inschrijving!J64</f>
        <v>0</v>
      </c>
      <c r="H65" s="71" t="str">
        <f>Inschrijving!K64</f>
        <v>KF2</v>
      </c>
    </row>
    <row r="66" spans="1:8">
      <c r="A66" s="41" t="str">
        <f>Inschrijving!D65</f>
        <v>vul winnaar in AF3</v>
      </c>
      <c r="B66" s="25" t="str">
        <f>Inschrijving!E65</f>
        <v>-</v>
      </c>
      <c r="C66" s="41" t="str">
        <f>Inschrijving!F65</f>
        <v>vul winnaar in AF1</v>
      </c>
      <c r="D66" s="32">
        <f>Inschrijving!G65</f>
        <v>0</v>
      </c>
      <c r="E66" s="23" t="str">
        <f>Inschrijving!H65</f>
        <v>-</v>
      </c>
      <c r="F66" s="23">
        <f>Inschrijving!I65</f>
        <v>0</v>
      </c>
      <c r="G66" s="37">
        <f>Inschrijving!J65</f>
        <v>0</v>
      </c>
      <c r="H66" s="71" t="str">
        <f>Inschrijving!K65</f>
        <v>KF3</v>
      </c>
    </row>
    <row r="67" spans="1:8">
      <c r="A67" s="41" t="str">
        <f>Inschrijving!D66</f>
        <v>vul winnaar in AF8</v>
      </c>
      <c r="B67" s="25" t="str">
        <f>Inschrijving!E66</f>
        <v>-</v>
      </c>
      <c r="C67" s="42" t="str">
        <f>Inschrijving!F66</f>
        <v>vul winnaar in AF7</v>
      </c>
      <c r="D67" s="32">
        <f>Inschrijving!G66</f>
        <v>0</v>
      </c>
      <c r="E67" s="23" t="str">
        <f>Inschrijving!H66</f>
        <v>-</v>
      </c>
      <c r="F67" s="23">
        <f>Inschrijving!I66</f>
        <v>0</v>
      </c>
      <c r="G67" s="37">
        <f>Inschrijving!J66</f>
        <v>0</v>
      </c>
      <c r="H67" s="71" t="str">
        <f>Inschrijving!K66</f>
        <v>KF4</v>
      </c>
    </row>
    <row r="68" spans="1:8">
      <c r="A68" s="70"/>
      <c r="B68" s="70"/>
      <c r="C68" s="70"/>
      <c r="D68" s="70"/>
      <c r="E68" s="70"/>
      <c r="F68" s="70"/>
      <c r="G68" s="70"/>
      <c r="H68" s="71"/>
    </row>
    <row r="69" spans="1:8">
      <c r="A69" s="70"/>
      <c r="B69" s="70"/>
      <c r="C69" s="70"/>
      <c r="D69" s="70"/>
      <c r="E69" s="70"/>
      <c r="F69" s="70"/>
      <c r="G69" s="70"/>
      <c r="H69" s="71"/>
    </row>
    <row r="70" spans="1:8">
      <c r="A70" s="45" t="str">
        <f>Inschrijving!B69</f>
        <v>Halve finales</v>
      </c>
      <c r="B70" s="21"/>
      <c r="C70" s="30"/>
      <c r="D70" s="30" t="str">
        <f>Inschrijving!G69</f>
        <v>Uitslag</v>
      </c>
      <c r="E70" s="30"/>
      <c r="F70" s="30"/>
      <c r="G70" s="36" t="str">
        <f>Inschrijving!J69</f>
        <v>Toto</v>
      </c>
      <c r="H70" s="71"/>
    </row>
    <row r="71" spans="1:8">
      <c r="A71" s="41" t="str">
        <f>Inschrijving!D70</f>
        <v>vul winnaar in KF2</v>
      </c>
      <c r="B71" s="25" t="str">
        <f>Inschrijving!E70</f>
        <v>-</v>
      </c>
      <c r="C71" s="41" t="str">
        <f>Inschrijving!F70</f>
        <v>vul winnaar in KF1</v>
      </c>
      <c r="D71" s="32">
        <f>Inschrijving!G70</f>
        <v>0</v>
      </c>
      <c r="E71" s="23" t="str">
        <f>Inschrijving!H70</f>
        <v>-</v>
      </c>
      <c r="F71" s="23">
        <f>Inschrijving!I70</f>
        <v>0</v>
      </c>
      <c r="G71" s="37">
        <f>Inschrijving!J70</f>
        <v>0</v>
      </c>
      <c r="H71" s="71" t="str">
        <f>Inschrijving!K70</f>
        <v>HF1</v>
      </c>
    </row>
    <row r="72" spans="1:8">
      <c r="A72" s="41" t="str">
        <f>Inschrijving!D71</f>
        <v>vul winnaar in KF4</v>
      </c>
      <c r="B72" s="25" t="str">
        <f>Inschrijving!E71</f>
        <v>-</v>
      </c>
      <c r="C72" s="42" t="str">
        <f>Inschrijving!F71</f>
        <v>vul winnaar in KF3</v>
      </c>
      <c r="D72" s="32">
        <f>Inschrijving!G71</f>
        <v>0</v>
      </c>
      <c r="E72" s="23" t="str">
        <f>Inschrijving!H71</f>
        <v>-</v>
      </c>
      <c r="F72" s="23">
        <f>Inschrijving!I71</f>
        <v>0</v>
      </c>
      <c r="G72" s="37">
        <f>Inschrijving!J71</f>
        <v>0</v>
      </c>
      <c r="H72" s="71" t="str">
        <f>Inschrijving!K71</f>
        <v>HF2</v>
      </c>
    </row>
    <row r="73" spans="1:8">
      <c r="A73" s="70"/>
      <c r="B73" s="70"/>
      <c r="C73" s="70"/>
      <c r="D73" s="70"/>
      <c r="E73" s="70"/>
      <c r="F73" s="70"/>
      <c r="G73" s="70"/>
      <c r="H73" s="70"/>
    </row>
    <row r="74" spans="1:8">
      <c r="A74" s="70"/>
      <c r="B74" s="70"/>
      <c r="C74" s="70"/>
      <c r="D74" s="70"/>
      <c r="E74" s="70"/>
      <c r="F74" s="70"/>
      <c r="G74" s="70"/>
      <c r="H74" s="70"/>
    </row>
    <row r="75" spans="1:8">
      <c r="A75" s="45" t="str">
        <f>Inschrijving!B74</f>
        <v>Finale</v>
      </c>
      <c r="B75" s="21"/>
      <c r="C75" s="30"/>
      <c r="D75" s="30" t="str">
        <f>Inschrijving!G74</f>
        <v>Uitslag</v>
      </c>
      <c r="E75" s="30"/>
      <c r="F75" s="30"/>
      <c r="G75" s="36" t="str">
        <f>Inschrijving!J74</f>
        <v>Toto</v>
      </c>
      <c r="H75" s="70"/>
    </row>
    <row r="76" spans="1:8">
      <c r="A76" s="41" t="str">
        <f>Inschrijving!D75</f>
        <v>vul winnaar in HF1</v>
      </c>
      <c r="B76" s="25" t="str">
        <f>Inschrijving!E75</f>
        <v>-</v>
      </c>
      <c r="C76" s="44" t="str">
        <f>Inschrijving!F75</f>
        <v>vul winnaar in HF2</v>
      </c>
      <c r="D76" s="32">
        <f>Inschrijving!G75</f>
        <v>0</v>
      </c>
      <c r="E76" s="23" t="str">
        <f>Inschrijving!H75</f>
        <v>-</v>
      </c>
      <c r="F76" s="23">
        <f>Inschrijving!I75</f>
        <v>0</v>
      </c>
      <c r="G76" s="37">
        <f>Inschrijving!J75</f>
        <v>0</v>
      </c>
      <c r="H76" s="70"/>
    </row>
    <row r="77" spans="1:8">
      <c r="A77" s="70"/>
      <c r="B77" s="70"/>
      <c r="C77" s="70"/>
      <c r="D77" s="70"/>
      <c r="E77" s="70"/>
      <c r="F77" s="70"/>
      <c r="G77" s="70"/>
      <c r="H77" s="70"/>
    </row>
    <row r="78" spans="1:8">
      <c r="A78" s="70"/>
      <c r="B78" s="70"/>
      <c r="C78" s="70"/>
      <c r="D78" s="70"/>
      <c r="E78" s="70"/>
      <c r="F78" s="70"/>
      <c r="G78" s="70"/>
      <c r="H78" s="70"/>
    </row>
    <row r="79" spans="1:8">
      <c r="A79" s="70"/>
      <c r="B79" s="70"/>
      <c r="C79" s="70"/>
      <c r="D79" s="70"/>
      <c r="E79" s="70"/>
      <c r="F79" s="70"/>
      <c r="G79" s="70"/>
      <c r="H79" s="70"/>
    </row>
    <row r="80" spans="1:8">
      <c r="A80" s="52" t="str">
        <f>Groepsloting!B68</f>
        <v>Achtste finales</v>
      </c>
      <c r="B80" s="46"/>
      <c r="C80" s="47"/>
      <c r="D80" s="70"/>
      <c r="E80" s="70"/>
      <c r="F80" s="70"/>
      <c r="G80" s="70"/>
      <c r="H80" s="70"/>
    </row>
    <row r="81" spans="1:8">
      <c r="A81" s="133"/>
      <c r="B81" s="133"/>
      <c r="C81" s="134" t="s">
        <v>89</v>
      </c>
      <c r="D81" s="53" t="str">
        <f>Inschrijving!D55</f>
        <v>1e poule B</v>
      </c>
      <c r="E81" s="54"/>
      <c r="F81" s="54"/>
      <c r="G81" s="55"/>
      <c r="H81" s="70"/>
    </row>
    <row r="82" spans="1:8">
      <c r="A82" s="133"/>
      <c r="B82" s="133"/>
      <c r="C82" s="134" t="s">
        <v>90</v>
      </c>
      <c r="D82" s="53" t="str">
        <f>Inschrijving!D52</f>
        <v>2e poule A</v>
      </c>
      <c r="E82" s="54"/>
      <c r="F82" s="54"/>
      <c r="G82" s="55"/>
      <c r="H82" s="70"/>
    </row>
    <row r="83" spans="1:8">
      <c r="A83" s="133"/>
      <c r="B83" s="133"/>
      <c r="C83" s="134" t="s">
        <v>91</v>
      </c>
      <c r="D83" s="53" t="str">
        <f>Inschrijving!D53</f>
        <v>1e poule A</v>
      </c>
      <c r="E83" s="54"/>
      <c r="F83" s="54"/>
      <c r="G83" s="55"/>
      <c r="H83" s="70"/>
    </row>
    <row r="84" spans="1:8">
      <c r="A84" s="133"/>
      <c r="B84" s="133"/>
      <c r="C84" s="134" t="s">
        <v>92</v>
      </c>
      <c r="D84" s="53" t="str">
        <f>Inschrijving!D59</f>
        <v>1e poule E</v>
      </c>
      <c r="E84" s="54"/>
      <c r="F84" s="54"/>
      <c r="G84" s="55"/>
      <c r="H84" s="70"/>
    </row>
    <row r="85" spans="1:8">
      <c r="A85" s="133"/>
      <c r="B85" s="133"/>
      <c r="C85" s="134" t="s">
        <v>93</v>
      </c>
      <c r="D85" s="53" t="str">
        <f>Inschrijving!D56</f>
        <v>2e poule D</v>
      </c>
      <c r="E85" s="54"/>
      <c r="F85" s="54"/>
      <c r="G85" s="55"/>
      <c r="H85" s="70"/>
    </row>
    <row r="86" spans="1:8">
      <c r="A86" s="133"/>
      <c r="B86" s="133"/>
      <c r="C86" s="134" t="s">
        <v>94</v>
      </c>
      <c r="D86" s="53" t="str">
        <f>Inschrijving!F52</f>
        <v>2e poule B</v>
      </c>
      <c r="E86" s="54"/>
      <c r="F86" s="54"/>
      <c r="G86" s="55"/>
      <c r="H86" s="70"/>
    </row>
    <row r="87" spans="1:8">
      <c r="A87" s="133"/>
      <c r="B87" s="133"/>
      <c r="C87" s="134" t="s">
        <v>95</v>
      </c>
      <c r="D87" s="53" t="str">
        <f>Inschrijving!D54</f>
        <v>1e poule C</v>
      </c>
      <c r="E87" s="54"/>
      <c r="F87" s="54"/>
      <c r="G87" s="55"/>
      <c r="H87" s="70"/>
    </row>
    <row r="88" spans="1:8">
      <c r="A88" s="133"/>
      <c r="B88" s="133"/>
      <c r="C88" s="134" t="s">
        <v>96</v>
      </c>
      <c r="D88" s="53" t="str">
        <f>Inschrijving!F58</f>
        <v>2e poule F</v>
      </c>
      <c r="E88" s="54"/>
      <c r="F88" s="54"/>
      <c r="G88" s="55"/>
      <c r="H88" s="70"/>
    </row>
    <row r="89" spans="1:8">
      <c r="A89" s="133"/>
      <c r="B89" s="133"/>
      <c r="C89" s="134" t="s">
        <v>97</v>
      </c>
      <c r="D89" s="53" t="str">
        <f>Inschrijving!D58</f>
        <v>1e poule D</v>
      </c>
      <c r="E89" s="54"/>
      <c r="F89" s="54"/>
      <c r="G89" s="55"/>
      <c r="H89" s="70"/>
    </row>
    <row r="90" spans="1:8">
      <c r="A90" s="133"/>
      <c r="B90" s="133"/>
      <c r="C90" s="134" t="s">
        <v>98</v>
      </c>
      <c r="D90" s="53" t="str">
        <f>Inschrijving!F57</f>
        <v>3e poule A/B/C</v>
      </c>
      <c r="E90" s="54"/>
      <c r="F90" s="54"/>
      <c r="G90" s="55"/>
      <c r="H90" s="70"/>
    </row>
    <row r="91" spans="1:8">
      <c r="A91" s="133"/>
      <c r="B91" s="133"/>
      <c r="C91" s="134" t="s">
        <v>99</v>
      </c>
      <c r="D91" s="53" t="str">
        <f>Inschrijving!D57</f>
        <v>1e poule F</v>
      </c>
      <c r="E91" s="54"/>
      <c r="F91" s="54"/>
      <c r="G91" s="55"/>
      <c r="H91" s="70"/>
    </row>
    <row r="92" spans="1:8">
      <c r="A92" s="133"/>
      <c r="B92" s="133"/>
      <c r="C92" s="134" t="s">
        <v>100</v>
      </c>
      <c r="D92" s="53" t="str">
        <f>Inschrijving!F59</f>
        <v>3e poule A/B/C/D</v>
      </c>
      <c r="E92" s="54"/>
      <c r="F92" s="54"/>
      <c r="G92" s="55"/>
      <c r="H92" s="70"/>
    </row>
    <row r="93" spans="1:8">
      <c r="A93" s="133"/>
      <c r="B93" s="133"/>
      <c r="C93" s="134" t="s">
        <v>432</v>
      </c>
      <c r="D93" s="56" t="str">
        <f>Inschrijving!F53</f>
        <v>2e poule C</v>
      </c>
      <c r="E93" s="57"/>
      <c r="F93" s="57"/>
      <c r="G93" s="58"/>
      <c r="H93" s="70"/>
    </row>
    <row r="94" spans="1:8">
      <c r="A94" s="133"/>
      <c r="B94" s="133"/>
      <c r="C94" s="134" t="s">
        <v>433</v>
      </c>
      <c r="D94" s="56" t="str">
        <f>Inschrijving!F54</f>
        <v>3e poule D/E/F</v>
      </c>
      <c r="E94" s="54"/>
      <c r="F94" s="54"/>
      <c r="G94" s="55"/>
      <c r="H94" s="70"/>
    </row>
    <row r="95" spans="1:8">
      <c r="A95" s="133"/>
      <c r="B95" s="133"/>
      <c r="C95" s="134" t="s">
        <v>434</v>
      </c>
      <c r="D95" s="56" t="str">
        <f>Inschrijving!F55</f>
        <v>3e poule A/D/E/F</v>
      </c>
      <c r="E95" s="54"/>
      <c r="F95" s="54"/>
      <c r="G95" s="55"/>
      <c r="H95" s="70"/>
    </row>
    <row r="96" spans="1:8">
      <c r="A96" s="133"/>
      <c r="B96" s="133"/>
      <c r="C96" s="134" t="s">
        <v>435</v>
      </c>
      <c r="D96" s="53" t="str">
        <f>Inschrijving!F56</f>
        <v>2e poule E</v>
      </c>
      <c r="E96" s="54"/>
      <c r="F96" s="54"/>
      <c r="G96" s="55"/>
      <c r="H96" s="70"/>
    </row>
    <row r="97" spans="1:8">
      <c r="A97" s="133"/>
      <c r="B97" s="133"/>
      <c r="C97" s="133"/>
      <c r="D97" s="133"/>
      <c r="E97" s="133"/>
      <c r="F97" s="133"/>
      <c r="G97" s="133"/>
      <c r="H97" s="70"/>
    </row>
    <row r="98" spans="1:8">
      <c r="A98" s="52" t="str">
        <f>Groepsloting!B77</f>
        <v>Kwartfinales</v>
      </c>
      <c r="B98" s="46"/>
      <c r="C98" s="47"/>
      <c r="D98" s="133"/>
      <c r="E98" s="133"/>
      <c r="F98" s="133"/>
      <c r="G98" s="133"/>
      <c r="H98" s="70"/>
    </row>
    <row r="99" spans="1:8">
      <c r="A99" s="133"/>
      <c r="B99" s="133"/>
      <c r="C99" s="134" t="s">
        <v>73</v>
      </c>
      <c r="D99" s="53" t="str">
        <f>Inschrijving!D63</f>
        <v>vul winnaar in AF6</v>
      </c>
      <c r="E99" s="54"/>
      <c r="F99" s="54"/>
      <c r="G99" s="55"/>
      <c r="H99" s="70"/>
    </row>
    <row r="100" spans="1:8">
      <c r="A100" s="133"/>
      <c r="B100" s="133"/>
      <c r="C100" s="134" t="s">
        <v>74</v>
      </c>
      <c r="D100" s="53" t="str">
        <f>Inschrijving!D64</f>
        <v>vul winnaar in AF4</v>
      </c>
      <c r="E100" s="54"/>
      <c r="F100" s="54"/>
      <c r="G100" s="55"/>
      <c r="H100" s="70"/>
    </row>
    <row r="101" spans="1:8">
      <c r="A101" s="133"/>
      <c r="B101" s="133"/>
      <c r="C101" s="134" t="s">
        <v>75</v>
      </c>
      <c r="D101" s="53" t="str">
        <f>Inschrijving!F63</f>
        <v>vul winnaar in AF5</v>
      </c>
      <c r="E101" s="54"/>
      <c r="F101" s="54"/>
      <c r="G101" s="55"/>
      <c r="H101" s="70"/>
    </row>
    <row r="102" spans="1:8">
      <c r="A102" s="133"/>
      <c r="B102" s="133"/>
      <c r="C102" s="134" t="s">
        <v>76</v>
      </c>
      <c r="D102" s="53" t="str">
        <f>Inschrijving!D66</f>
        <v>vul winnaar in AF8</v>
      </c>
      <c r="E102" s="54"/>
      <c r="F102" s="54"/>
      <c r="G102" s="55"/>
      <c r="H102" s="70"/>
    </row>
    <row r="103" spans="1:8">
      <c r="A103" s="133"/>
      <c r="B103" s="133"/>
      <c r="C103" s="134" t="s">
        <v>77</v>
      </c>
      <c r="D103" s="53" t="str">
        <f>Inschrijving!D65</f>
        <v>vul winnaar in AF3</v>
      </c>
      <c r="E103" s="54"/>
      <c r="F103" s="54"/>
      <c r="G103" s="55"/>
      <c r="H103" s="70"/>
    </row>
    <row r="104" spans="1:8">
      <c r="A104" s="133"/>
      <c r="B104" s="133"/>
      <c r="C104" s="134" t="s">
        <v>78</v>
      </c>
      <c r="D104" s="53" t="str">
        <f>Inschrijving!F64</f>
        <v>vul winnaar in AF2</v>
      </c>
      <c r="E104" s="54"/>
      <c r="F104" s="54"/>
      <c r="G104" s="55"/>
      <c r="H104" s="70"/>
    </row>
    <row r="105" spans="1:8">
      <c r="A105" s="133"/>
      <c r="B105" s="133"/>
      <c r="C105" s="134" t="s">
        <v>79</v>
      </c>
      <c r="D105" s="53" t="str">
        <f>Inschrijving!F65</f>
        <v>vul winnaar in AF1</v>
      </c>
      <c r="E105" s="54"/>
      <c r="F105" s="54"/>
      <c r="G105" s="55"/>
      <c r="H105" s="70"/>
    </row>
    <row r="106" spans="1:8">
      <c r="A106" s="133"/>
      <c r="B106" s="133"/>
      <c r="C106" s="134" t="s">
        <v>80</v>
      </c>
      <c r="D106" s="53" t="str">
        <f>Inschrijving!F66</f>
        <v>vul winnaar in AF7</v>
      </c>
      <c r="E106" s="54"/>
      <c r="F106" s="54"/>
      <c r="G106" s="55"/>
      <c r="H106" s="70"/>
    </row>
    <row r="107" spans="1:8">
      <c r="A107" s="133"/>
      <c r="B107" s="133"/>
      <c r="C107" s="133"/>
      <c r="D107" s="133"/>
      <c r="E107" s="133"/>
      <c r="F107" s="133"/>
      <c r="G107" s="133"/>
      <c r="H107" s="70"/>
    </row>
    <row r="108" spans="1:8">
      <c r="A108" s="52" t="str">
        <f>Groepsloting!B82</f>
        <v>Halve finales</v>
      </c>
      <c r="B108" s="46"/>
      <c r="C108" s="47"/>
      <c r="D108" s="133"/>
      <c r="E108" s="133"/>
      <c r="F108" s="133"/>
      <c r="G108" s="133"/>
      <c r="H108" s="70"/>
    </row>
    <row r="109" spans="1:8">
      <c r="A109" s="133"/>
      <c r="B109" s="133"/>
      <c r="C109" s="134" t="s">
        <v>81</v>
      </c>
      <c r="D109" s="53" t="str">
        <f>Inschrijving!D70</f>
        <v>vul winnaar in KF2</v>
      </c>
      <c r="E109" s="54"/>
      <c r="F109" s="54"/>
      <c r="G109" s="55"/>
      <c r="H109" s="70"/>
    </row>
    <row r="110" spans="1:8">
      <c r="A110" s="133"/>
      <c r="B110" s="133"/>
      <c r="C110" s="134" t="s">
        <v>82</v>
      </c>
      <c r="D110" s="53" t="str">
        <f>Inschrijving!F70</f>
        <v>vul winnaar in KF1</v>
      </c>
      <c r="E110" s="54"/>
      <c r="F110" s="54"/>
      <c r="G110" s="55"/>
      <c r="H110" s="70"/>
    </row>
    <row r="111" spans="1:8">
      <c r="A111" s="133"/>
      <c r="B111" s="133"/>
      <c r="C111" s="134" t="s">
        <v>83</v>
      </c>
      <c r="D111" s="53" t="str">
        <f>Inschrijving!D71</f>
        <v>vul winnaar in KF4</v>
      </c>
      <c r="E111" s="54"/>
      <c r="F111" s="54"/>
      <c r="G111" s="55"/>
      <c r="H111" s="70"/>
    </row>
    <row r="112" spans="1:8">
      <c r="A112" s="133"/>
      <c r="B112" s="133"/>
      <c r="C112" s="134" t="s">
        <v>84</v>
      </c>
      <c r="D112" s="53" t="str">
        <f>Inschrijving!F71</f>
        <v>vul winnaar in KF3</v>
      </c>
      <c r="E112" s="54"/>
      <c r="F112" s="54"/>
      <c r="G112" s="55"/>
      <c r="H112" s="70"/>
    </row>
    <row r="113" spans="1:8">
      <c r="A113" s="133"/>
      <c r="B113" s="133"/>
      <c r="C113" s="133"/>
      <c r="D113" s="133"/>
      <c r="E113" s="133"/>
      <c r="F113" s="133"/>
      <c r="G113" s="133"/>
      <c r="H113" s="70"/>
    </row>
    <row r="114" spans="1:8">
      <c r="A114" s="52" t="str">
        <f>Groepsloting!B89</f>
        <v>Finale</v>
      </c>
      <c r="B114" s="46"/>
      <c r="C114" s="47"/>
      <c r="D114" s="133"/>
      <c r="E114" s="133"/>
      <c r="F114" s="133"/>
      <c r="G114" s="133"/>
      <c r="H114" s="70"/>
    </row>
    <row r="115" spans="1:8">
      <c r="A115" s="133"/>
      <c r="B115" s="133"/>
      <c r="C115" s="134" t="s">
        <v>85</v>
      </c>
      <c r="D115" s="53" t="str">
        <f>Inschrijving!D75</f>
        <v>vul winnaar in HF1</v>
      </c>
      <c r="E115" s="54"/>
      <c r="F115" s="54"/>
      <c r="G115" s="55"/>
      <c r="H115" s="70"/>
    </row>
    <row r="116" spans="1:8">
      <c r="A116" s="133"/>
      <c r="B116" s="133"/>
      <c r="C116" s="134" t="s">
        <v>86</v>
      </c>
      <c r="D116" s="53" t="str">
        <f>Inschrijving!F75</f>
        <v>vul winnaar in HF2</v>
      </c>
      <c r="E116" s="54"/>
      <c r="F116" s="54"/>
      <c r="G116" s="55"/>
      <c r="H116" s="70"/>
    </row>
    <row r="117" spans="1:8">
      <c r="A117" s="133"/>
      <c r="B117" s="133"/>
      <c r="C117" s="134"/>
      <c r="D117" s="133"/>
      <c r="E117" s="133"/>
      <c r="F117" s="133"/>
      <c r="G117" s="133"/>
      <c r="H117" s="70"/>
    </row>
    <row r="118" spans="1:8">
      <c r="A118" s="52" t="str">
        <f>Groepsloting!B90</f>
        <v>Europees kampioen</v>
      </c>
      <c r="B118" s="46"/>
      <c r="C118" s="47"/>
      <c r="D118" s="133"/>
      <c r="E118" s="133"/>
      <c r="F118" s="133"/>
      <c r="G118" s="133"/>
      <c r="H118" s="70"/>
    </row>
    <row r="119" spans="1:8">
      <c r="A119" s="133"/>
      <c r="B119" s="133"/>
      <c r="C119" s="133"/>
      <c r="D119" s="53" t="str">
        <f>Inschrijving!F78</f>
        <v>vul winnaar finale in</v>
      </c>
      <c r="E119" s="54"/>
      <c r="F119" s="54"/>
      <c r="G119" s="55"/>
      <c r="H119" s="70"/>
    </row>
    <row r="120" spans="1:8">
      <c r="A120" s="133"/>
      <c r="B120" s="133"/>
      <c r="C120" s="133"/>
      <c r="D120" s="133"/>
      <c r="E120" s="133"/>
      <c r="F120" s="133"/>
      <c r="G120" s="133"/>
      <c r="H120" s="70"/>
    </row>
    <row r="121" spans="1:8">
      <c r="A121" s="133"/>
      <c r="B121" s="133"/>
      <c r="C121" s="133"/>
      <c r="D121" s="133"/>
      <c r="E121" s="133"/>
      <c r="F121" s="133"/>
      <c r="G121" s="133"/>
      <c r="H121" s="70"/>
    </row>
    <row r="122" spans="1:8">
      <c r="A122" s="133"/>
      <c r="B122" s="133"/>
      <c r="C122" s="133"/>
      <c r="D122" s="133"/>
      <c r="E122" s="133"/>
      <c r="F122" s="133"/>
      <c r="G122" s="133"/>
      <c r="H122" s="70"/>
    </row>
    <row r="123" spans="1:8">
      <c r="A123" s="52" t="str">
        <f>Groepsloting!B108</f>
        <v>Bonus detailvragen</v>
      </c>
      <c r="B123" s="46"/>
      <c r="C123" s="47"/>
      <c r="D123" s="71"/>
      <c r="E123" s="71"/>
      <c r="F123" s="71"/>
      <c r="G123" s="71"/>
      <c r="H123" s="71"/>
    </row>
    <row r="124" spans="1:8" ht="41.25" customHeight="1">
      <c r="A124" s="199" t="str">
        <f>Inschrijving!M21</f>
        <v>1. Welke land krijgt de meeste tegendoelpunten in de groepsfase?  (5 punten)</v>
      </c>
      <c r="B124" s="199"/>
      <c r="C124" s="200"/>
      <c r="D124" s="51">
        <f>Inschrijving!N22</f>
        <v>0</v>
      </c>
      <c r="E124" s="59"/>
      <c r="F124" s="59"/>
      <c r="G124" s="60"/>
      <c r="H124" s="71"/>
    </row>
    <row r="125" spans="1:8">
      <c r="A125" s="72"/>
      <c r="B125" s="72"/>
      <c r="C125" s="72"/>
      <c r="D125" s="71"/>
      <c r="E125" s="71"/>
      <c r="F125" s="71"/>
      <c r="G125" s="71"/>
      <c r="H125" s="71"/>
    </row>
    <row r="126" spans="1:8" ht="43.5" customHeight="1">
      <c r="A126" s="197" t="str">
        <f>Inschrijving!M23</f>
        <v>2. Welk land krijgt de minste tegendoelpunten in de groepsfase?  (5 punten)</v>
      </c>
      <c r="B126" s="197"/>
      <c r="C126" s="198"/>
      <c r="D126" s="51">
        <f>Inschrijving!N24</f>
        <v>0</v>
      </c>
      <c r="E126" s="59"/>
      <c r="F126" s="59"/>
      <c r="G126" s="60"/>
      <c r="H126" s="71"/>
    </row>
    <row r="127" spans="1:8">
      <c r="A127" s="71"/>
      <c r="B127" s="71"/>
      <c r="C127" s="71"/>
      <c r="D127" s="71"/>
      <c r="E127" s="71"/>
      <c r="F127" s="71"/>
      <c r="G127" s="71"/>
      <c r="H127" s="71"/>
    </row>
    <row r="128" spans="1:8" ht="30.75" customHeight="1">
      <c r="A128" s="197" t="str">
        <f>Inschrijving!M25</f>
        <v>3. Welk land scoort de meeste doelpunten in de groepsfase?  (5 punten)</v>
      </c>
      <c r="B128" s="197"/>
      <c r="C128" s="198"/>
      <c r="D128" s="51">
        <f>Inschrijving!N26</f>
        <v>0</v>
      </c>
      <c r="E128" s="59"/>
      <c r="F128" s="59"/>
      <c r="G128" s="60"/>
      <c r="H128" s="71"/>
    </row>
    <row r="129" spans="1:8">
      <c r="A129" s="71"/>
      <c r="B129" s="71"/>
      <c r="C129" s="71"/>
      <c r="D129" s="71"/>
      <c r="E129" s="71"/>
      <c r="F129" s="71"/>
      <c r="G129" s="71"/>
      <c r="H129" s="71"/>
    </row>
    <row r="130" spans="1:8" ht="30.75" customHeight="1">
      <c r="A130" s="197" t="str">
        <f>Inschrijving!M27</f>
        <v>4. Welk land scoort de minste doelpunten in de groepsfase?  (5 punten)</v>
      </c>
      <c r="B130" s="197"/>
      <c r="C130" s="198"/>
      <c r="D130" s="51">
        <f>Inschrijving!N28</f>
        <v>0</v>
      </c>
      <c r="E130" s="59"/>
      <c r="F130" s="59"/>
      <c r="G130" s="60"/>
      <c r="H130" s="71"/>
    </row>
    <row r="131" spans="1:8">
      <c r="A131" s="71"/>
      <c r="B131" s="71"/>
      <c r="C131" s="71"/>
      <c r="D131" s="71"/>
      <c r="E131" s="71"/>
      <c r="F131" s="71"/>
      <c r="G131" s="71"/>
      <c r="H131" s="71"/>
    </row>
    <row r="132" spans="1:8" ht="31.5" customHeight="1">
      <c r="A132" s="197" t="str">
        <f>Inschrijving!M29</f>
        <v>5. Wie wordt topscoorder van het toernooi? (Achternaam) (5 punten)</v>
      </c>
      <c r="B132" s="197"/>
      <c r="C132" s="198"/>
      <c r="D132" s="51">
        <f>Inschrijving!N30</f>
        <v>0</v>
      </c>
      <c r="E132" s="59"/>
      <c r="F132" s="59"/>
      <c r="G132" s="60"/>
      <c r="H132" s="71"/>
    </row>
    <row r="133" spans="1:8">
      <c r="A133" s="71"/>
      <c r="B133" s="71"/>
      <c r="C133" s="71"/>
      <c r="D133" s="71"/>
      <c r="E133" s="71"/>
      <c r="F133" s="71"/>
      <c r="G133" s="71"/>
      <c r="H133" s="71"/>
    </row>
    <row r="134" spans="1:8" ht="31.5" customHeight="1">
      <c r="A134" s="197" t="str">
        <f>Inschrijving!M31</f>
        <v>6. Hoeveel doelpunten worden er in het toernooi gescoord?  (range ±5=5pnt)</v>
      </c>
      <c r="B134" s="197"/>
      <c r="C134" s="198"/>
      <c r="D134" s="51">
        <f>Inschrijving!N32</f>
        <v>0</v>
      </c>
      <c r="E134" s="59"/>
      <c r="F134" s="59"/>
      <c r="G134" s="60"/>
      <c r="H134" s="71"/>
    </row>
    <row r="135" spans="1:8">
      <c r="A135" s="71"/>
      <c r="B135" s="71"/>
      <c r="C135" s="71"/>
      <c r="D135" s="71"/>
      <c r="E135" s="71"/>
      <c r="F135" s="71"/>
      <c r="G135" s="71"/>
      <c r="H135" s="71"/>
    </row>
    <row r="136" spans="1:8" ht="30.75" customHeight="1">
      <c r="A136" s="197" t="str">
        <f>Inschrijving!M33</f>
        <v>7. Hoeveel gele kaarten vallen er in het toernooi?   (range ±5=5pnt)</v>
      </c>
      <c r="B136" s="197"/>
      <c r="C136" s="198"/>
      <c r="D136" s="51">
        <f>Inschrijving!N34</f>
        <v>0</v>
      </c>
      <c r="E136" s="59"/>
      <c r="F136" s="59"/>
      <c r="G136" s="60"/>
      <c r="H136" s="71"/>
    </row>
    <row r="137" spans="1:8">
      <c r="A137" s="71"/>
      <c r="B137" s="71"/>
      <c r="C137" s="71"/>
      <c r="D137" s="71"/>
      <c r="E137" s="71"/>
      <c r="F137" s="71"/>
      <c r="G137" s="71"/>
      <c r="H137" s="71"/>
    </row>
    <row r="138" spans="1:8" ht="31.5" customHeight="1">
      <c r="A138" s="197" t="str">
        <f>Inschrijving!M35</f>
        <v>8. Wie scoort het eerste doelpunt voor Nederland?  (5 punten)</v>
      </c>
      <c r="B138" s="197"/>
      <c r="C138" s="198"/>
      <c r="D138" s="51">
        <f>Inschrijving!N36</f>
        <v>0</v>
      </c>
      <c r="E138" s="59"/>
      <c r="F138" s="59"/>
      <c r="G138" s="60"/>
      <c r="H138" s="71"/>
    </row>
    <row r="139" spans="1:8" ht="12.75" customHeight="1">
      <c r="A139" s="71"/>
      <c r="B139" s="71"/>
      <c r="C139" s="71"/>
      <c r="D139" s="71"/>
      <c r="E139" s="71"/>
      <c r="F139" s="71"/>
      <c r="G139" s="71"/>
      <c r="H139" s="71"/>
    </row>
    <row r="140" spans="1:8" ht="30.75" customHeight="1">
      <c r="A140" s="197" t="str">
        <f>Inschrijving!M37</f>
        <v>9. Welke Nederlandse speler krijgt de eerste gele kaart?  (5 punten)</v>
      </c>
      <c r="B140" s="197"/>
      <c r="C140" s="198"/>
      <c r="D140" s="51">
        <f>Inschrijving!N38</f>
        <v>0</v>
      </c>
      <c r="E140" s="59"/>
      <c r="F140" s="59"/>
      <c r="G140" s="60"/>
      <c r="H140" s="71"/>
    </row>
    <row r="141" spans="1:8" ht="12.75" customHeight="1">
      <c r="A141" s="71"/>
      <c r="B141" s="71"/>
      <c r="C141" s="71"/>
      <c r="D141" s="71"/>
      <c r="E141" s="71"/>
      <c r="F141" s="71"/>
      <c r="G141" s="71"/>
      <c r="H141" s="71"/>
    </row>
    <row r="142" spans="1:8" ht="30.75" customHeight="1">
      <c r="A142" s="197" t="str">
        <f>Inschrijving!M39</f>
        <v>10. Hoeveel doelpunten maakt Nederland in totaal?  (5 punten)</v>
      </c>
      <c r="B142" s="197"/>
      <c r="C142" s="198"/>
      <c r="D142" s="51">
        <f>Inschrijving!N40</f>
        <v>0</v>
      </c>
      <c r="E142" s="59"/>
      <c r="F142" s="59"/>
      <c r="G142" s="60"/>
      <c r="H142" s="71"/>
    </row>
    <row r="143" spans="1:8" ht="12.75" customHeight="1">
      <c r="A143" s="71"/>
      <c r="B143" s="71"/>
      <c r="C143" s="71"/>
      <c r="D143" s="71"/>
      <c r="E143" s="71"/>
      <c r="F143" s="71"/>
      <c r="G143" s="71"/>
      <c r="H143" s="71"/>
    </row>
    <row r="144" spans="1:8" ht="30.75" customHeight="1">
      <c r="A144" s="197" t="str">
        <f>Inschrijving!M41</f>
        <v>11. Wie wordt topscoorder van Nederland?  (5 punten)</v>
      </c>
      <c r="B144" s="197"/>
      <c r="C144" s="198"/>
      <c r="D144" s="51">
        <f>Inschrijving!N42</f>
        <v>0</v>
      </c>
      <c r="E144" s="59"/>
      <c r="F144" s="59"/>
      <c r="G144" s="60"/>
      <c r="H144" s="71"/>
    </row>
    <row r="145" spans="1:8" ht="12" customHeight="1">
      <c r="A145" s="71"/>
      <c r="B145" s="71"/>
      <c r="C145" s="71"/>
      <c r="D145" s="71"/>
      <c r="E145" s="71"/>
      <c r="F145" s="71"/>
      <c r="G145" s="71"/>
      <c r="H145" s="71"/>
    </row>
    <row r="155" spans="1:8" ht="12" customHeight="1"/>
  </sheetData>
  <protectedRanges>
    <protectedRange sqref="H3:H76" name="Bereik1_2"/>
    <protectedRange sqref="A51:C60 A62:C67 A3:C49 A69:C76 D3:G76" name="Bereik1_1_1"/>
  </protectedRanges>
  <mergeCells count="11">
    <mergeCell ref="A124:C124"/>
    <mergeCell ref="A126:C126"/>
    <mergeCell ref="A128:C128"/>
    <mergeCell ref="A130:C130"/>
    <mergeCell ref="A132:C132"/>
    <mergeCell ref="A138:C138"/>
    <mergeCell ref="A140:C140"/>
    <mergeCell ref="A142:C142"/>
    <mergeCell ref="A144:C144"/>
    <mergeCell ref="A134:C134"/>
    <mergeCell ref="A136:C136"/>
  </mergeCells>
  <conditionalFormatting sqref="A80:C80">
    <cfRule type="cellIs" dxfId="16" priority="27" stopIfTrue="1" operator="equal">
      <formula>"Nederland"</formula>
    </cfRule>
  </conditionalFormatting>
  <conditionalFormatting sqref="A98:C98">
    <cfRule type="cellIs" dxfId="15" priority="15" stopIfTrue="1" operator="equal">
      <formula>"Nederland"</formula>
    </cfRule>
  </conditionalFormatting>
  <conditionalFormatting sqref="A108:C108">
    <cfRule type="cellIs" dxfId="14" priority="14" stopIfTrue="1" operator="equal">
      <formula>"Nederland"</formula>
    </cfRule>
  </conditionalFormatting>
  <conditionalFormatting sqref="A114:C114">
    <cfRule type="cellIs" dxfId="13" priority="13" stopIfTrue="1" operator="equal">
      <formula>"Nederland"</formula>
    </cfRule>
  </conditionalFormatting>
  <conditionalFormatting sqref="A118:C118">
    <cfRule type="cellIs" dxfId="12" priority="12" stopIfTrue="1" operator="equal">
      <formula>"Nederland"</formula>
    </cfRule>
  </conditionalFormatting>
  <conditionalFormatting sqref="A123:C123">
    <cfRule type="cellIs" dxfId="11" priority="30" stopIfTrue="1" operator="equal">
      <formula>"Nederland"</formula>
    </cfRule>
  </conditionalFormatting>
  <conditionalFormatting sqref="D124">
    <cfRule type="cellIs" dxfId="10" priority="49" stopIfTrue="1" operator="equal">
      <formula>"Nederland"</formula>
    </cfRule>
  </conditionalFormatting>
  <conditionalFormatting sqref="D126">
    <cfRule type="cellIs" dxfId="9" priority="48" stopIfTrue="1" operator="equal">
      <formula>"Nederland"</formula>
    </cfRule>
  </conditionalFormatting>
  <conditionalFormatting sqref="D128">
    <cfRule type="cellIs" dxfId="8" priority="47" stopIfTrue="1" operator="equal">
      <formula>"Nederland"</formula>
    </cfRule>
  </conditionalFormatting>
  <conditionalFormatting sqref="D130">
    <cfRule type="cellIs" dxfId="7" priority="46" stopIfTrue="1" operator="equal">
      <formula>"Nederland"</formula>
    </cfRule>
  </conditionalFormatting>
  <conditionalFormatting sqref="D132">
    <cfRule type="cellIs" dxfId="6" priority="45" stopIfTrue="1" operator="equal">
      <formula>"Nederland"</formula>
    </cfRule>
  </conditionalFormatting>
  <conditionalFormatting sqref="D134">
    <cfRule type="cellIs" dxfId="5" priority="43" stopIfTrue="1" operator="equal">
      <formula>"Nederland"</formula>
    </cfRule>
  </conditionalFormatting>
  <conditionalFormatting sqref="D136">
    <cfRule type="cellIs" dxfId="4" priority="42" stopIfTrue="1" operator="equal">
      <formula>"Nederland"</formula>
    </cfRule>
  </conditionalFormatting>
  <conditionalFormatting sqref="D138">
    <cfRule type="cellIs" dxfId="3" priority="4" stopIfTrue="1" operator="equal">
      <formula>"Nederland"</formula>
    </cfRule>
  </conditionalFormatting>
  <conditionalFormatting sqref="D140">
    <cfRule type="cellIs" dxfId="2" priority="3" stopIfTrue="1" operator="equal">
      <formula>"Nederland"</formula>
    </cfRule>
  </conditionalFormatting>
  <conditionalFormatting sqref="D142">
    <cfRule type="cellIs" dxfId="1" priority="2" stopIfTrue="1" operator="equal">
      <formula>"Nederland"</formula>
    </cfRule>
  </conditionalFormatting>
  <conditionalFormatting sqref="D144">
    <cfRule type="cellIs" dxfId="0" priority="1" stopIfTrue="1" operator="equal">
      <formula>"Nederland"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3dee550-b1a2-44b5-a936-2be77de2426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4FDAFCB7B73F498BC03BBB32DC25FB" ma:contentTypeVersion="18" ma:contentTypeDescription="Een nieuw document maken." ma:contentTypeScope="" ma:versionID="09585a17d9687ea27c69666ceb20ea79">
  <xsd:schema xmlns:xsd="http://www.w3.org/2001/XMLSchema" xmlns:xs="http://www.w3.org/2001/XMLSchema" xmlns:p="http://schemas.microsoft.com/office/2006/metadata/properties" xmlns:ns3="53dee550-b1a2-44b5-a936-2be77de2426b" xmlns:ns4="e608cc69-66b7-484a-b6b2-7a47faf9bb0e" targetNamespace="http://schemas.microsoft.com/office/2006/metadata/properties" ma:root="true" ma:fieldsID="2006089be23f907cefbc0b63f386067b" ns3:_="" ns4:_="">
    <xsd:import namespace="53dee550-b1a2-44b5-a936-2be77de2426b"/>
    <xsd:import namespace="e608cc69-66b7-484a-b6b2-7a47faf9bb0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dee550-b1a2-44b5-a936-2be77de242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8cc69-66b7-484a-b6b2-7a47faf9b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Hint-hash delen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EEC1D7-2E7D-4BFA-BC0F-EE4C7CE44B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188B55-55FA-4125-B7A0-2CE7732E802A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e608cc69-66b7-484a-b6b2-7a47faf9bb0e"/>
    <ds:schemaRef ds:uri="53dee550-b1a2-44b5-a936-2be77de2426b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4D2348F-E2CF-4371-B77B-0D95606D40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dee550-b1a2-44b5-a936-2be77de2426b"/>
    <ds:schemaRef ds:uri="e608cc69-66b7-484a-b6b2-7a47faf9bb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cdc477bf-b6e3-4345-b1be-3b225394e17e}" enabled="0" method="" siteId="{cdc477bf-b6e3-4345-b1be-3b225394e17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19</vt:i4>
      </vt:variant>
    </vt:vector>
  </HeadingPairs>
  <TitlesOfParts>
    <vt:vector size="23" baseType="lpstr">
      <vt:lpstr>Inschrijving</vt:lpstr>
      <vt:lpstr>Groepsloting</vt:lpstr>
      <vt:lpstr>Stand Groepen</vt:lpstr>
      <vt:lpstr>Samenvatting</vt:lpstr>
      <vt:lpstr>Inschrijving!Afdrukbereik</vt:lpstr>
      <vt:lpstr>cc</vt:lpstr>
      <vt:lpstr>dd</vt:lpstr>
      <vt:lpstr>groepA</vt:lpstr>
      <vt:lpstr>groepAenB</vt:lpstr>
      <vt:lpstr>groepAtmD</vt:lpstr>
      <vt:lpstr>groepAtmH</vt:lpstr>
      <vt:lpstr>groepB</vt:lpstr>
      <vt:lpstr>groepC</vt:lpstr>
      <vt:lpstr>groepCenD</vt:lpstr>
      <vt:lpstr>groepD</vt:lpstr>
      <vt:lpstr>groepE</vt:lpstr>
      <vt:lpstr>groepEenF</vt:lpstr>
      <vt:lpstr>groepEtmH</vt:lpstr>
      <vt:lpstr>groepF</vt:lpstr>
      <vt:lpstr>Landen</vt:lpstr>
      <vt:lpstr>score</vt:lpstr>
      <vt:lpstr>toto</vt:lpstr>
      <vt:lpstr>y</vt:lpstr>
    </vt:vector>
  </TitlesOfParts>
  <Company>bassiespooltje.nl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EK 2024 Duitsland</dc:title>
  <dc:creator>Bas</dc:creator>
  <cp:lastModifiedBy>Scheuierman, Bas</cp:lastModifiedBy>
  <cp:lastPrinted>2021-04-17T06:01:22Z</cp:lastPrinted>
  <dcterms:created xsi:type="dcterms:W3CDTF">2006-05-08T18:03:57Z</dcterms:created>
  <dcterms:modified xsi:type="dcterms:W3CDTF">2024-05-29T13:48:05Z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0x010100A64FDAFCB7B73F498BC03BBB32DC25FB</vt:lpwstr>
  </property>
</Properties>
</file>